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mc:AlternateContent xmlns:mc="http://schemas.openxmlformats.org/markup-compatibility/2006">
    <mc:Choice Requires="x15">
      <x15ac:absPath xmlns:x15ac="http://schemas.microsoft.com/office/spreadsheetml/2010/11/ac" url="E:\Zoho WorkDrive (ghansham Thakkar)\Energyoptimaa\MERC MYT 2024 - Utility Side\JPTL MYT 2024\Revised MYT\"/>
    </mc:Choice>
  </mc:AlternateContent>
  <xr:revisionPtr revIDLastSave="0" documentId="13_ncr:1_{7AAC0730-A11C-4FC2-B756-15880A4748C4}" xr6:coauthVersionLast="47" xr6:coauthVersionMax="47" xr10:uidLastSave="{00000000-0000-0000-0000-000000000000}"/>
  <bookViews>
    <workbookView xWindow="-108" yWindow="-108" windowWidth="23256" windowHeight="12456" tabRatio="897" firstSheet="5" activeTab="9" xr2:uid="{00000000-000D-0000-FFFF-FFFF00000000}"/>
  </bookViews>
  <sheets>
    <sheet name="Rate-W.cap" sheetId="107" state="hidden" r:id="rId1"/>
    <sheet name="Gap" sheetId="109" state="hidden" r:id="rId2"/>
    <sheet name="Recon" sheetId="105" state="hidden" r:id="rId3"/>
    <sheet name="Assum" sheetId="102" state="hidden" r:id="rId4"/>
    <sheet name="Index" sheetId="44" r:id="rId5"/>
    <sheet name="F1 " sheetId="2" r:id="rId6"/>
    <sheet name="F2" sheetId="65" r:id="rId7"/>
    <sheet name="F2.1 " sheetId="61" r:id="rId8"/>
    <sheet name="F2.2" sheetId="66" r:id="rId9"/>
    <sheet name="F2.3" sheetId="67" r:id="rId10"/>
    <sheet name="F2.4" sheetId="68" r:id="rId11"/>
    <sheet name="F2.5" sheetId="69" r:id="rId12"/>
    <sheet name="Overhauling" sheetId="112" state="hidden" r:id="rId13"/>
    <sheet name="F3" sheetId="91" r:id="rId14"/>
    <sheet name="F3.1" sheetId="72" r:id="rId15"/>
    <sheet name="F3.2" sheetId="73" r:id="rId16"/>
    <sheet name="F3.3" sheetId="74" r:id="rId17"/>
    <sheet name="F4 " sheetId="98" r:id="rId18"/>
    <sheet name="F4.1 (E) Exisiting" sheetId="99" r:id="rId19"/>
    <sheet name="F4.1 (N) New" sheetId="100" r:id="rId20"/>
    <sheet name="Decapitalisation" sheetId="114" state="hidden" r:id="rId21"/>
    <sheet name="Capitalisation " sheetId="113" state="hidden" r:id="rId22"/>
    <sheet name="Interest" sheetId="115" state="hidden" r:id="rId23"/>
    <sheet name="F5" sheetId="58" r:id="rId24"/>
    <sheet name="F6" sheetId="77" r:id="rId25"/>
    <sheet name="F7" sheetId="3" r:id="rId26"/>
    <sheet name="Availability" sheetId="104" state="hidden" r:id="rId27"/>
    <sheet name="F8" sheetId="14" r:id="rId28"/>
    <sheet name="G Sec Investment" sheetId="110" state="hidden" r:id="rId29"/>
    <sheet name="F9" sheetId="101" r:id="rId30"/>
    <sheet name="F10" sheetId="76" r:id="rId31"/>
    <sheet name="F11" sheetId="90" r:id="rId32"/>
    <sheet name="Revenue" sheetId="106" state="hidden" r:id="rId33"/>
    <sheet name="F12" sheetId="94" r:id="rId34"/>
    <sheet name="F14.1" sheetId="80" state="hidden" r:id="rId35"/>
    <sheet name="F14.2" sheetId="81" state="hidden" r:id="rId36"/>
    <sheet name="F14.3" sheetId="82" state="hidden" r:id="rId37"/>
    <sheet name="F14.4" sheetId="83" state="hidden" r:id="rId38"/>
    <sheet name="F14.5" sheetId="84" state="hidden" r:id="rId39"/>
    <sheet name="F14.6" sheetId="85" state="hidden" r:id="rId40"/>
    <sheet name="F 14.7" sheetId="86" state="hidden" r:id="rId41"/>
    <sheet name="F14.8" sheetId="87" state="hidden" r:id="rId42"/>
    <sheet name="F14.9" sheetId="88" state="hidden" r:id="rId43"/>
    <sheet name="F13" sheetId="79" r:id="rId44"/>
    <sheet name="Sharing" sheetId="108" state="hidden" r:id="rId45"/>
    <sheet name="F15" sheetId="96" state="hidden" r:id="rId46"/>
  </sheets>
  <definedNames>
    <definedName name="\a" localSheetId="3">#REF!</definedName>
    <definedName name="\a" localSheetId="26">#REF!</definedName>
    <definedName name="\a" localSheetId="18">#REF!</definedName>
    <definedName name="\a" localSheetId="19">#REF!</definedName>
    <definedName name="\a" localSheetId="28">#REF!</definedName>
    <definedName name="\a" localSheetId="0">#REF!</definedName>
    <definedName name="\a" localSheetId="2">#REF!</definedName>
    <definedName name="\a" localSheetId="32">#REF!</definedName>
    <definedName name="\a" localSheetId="44">#REF!</definedName>
    <definedName name="\a">#REF!</definedName>
    <definedName name="\b" localSheetId="26">#REF!</definedName>
    <definedName name="\b" localSheetId="18">#REF!</definedName>
    <definedName name="\b" localSheetId="19">#REF!</definedName>
    <definedName name="\b" localSheetId="0">#REF!</definedName>
    <definedName name="\b" localSheetId="2">#REF!</definedName>
    <definedName name="\b" localSheetId="32">#REF!</definedName>
    <definedName name="\b" localSheetId="44">#REF!</definedName>
    <definedName name="\b">#REF!</definedName>
    <definedName name="\c" localSheetId="26">#REF!</definedName>
    <definedName name="\c" localSheetId="18">#REF!</definedName>
    <definedName name="\c" localSheetId="19">#REF!</definedName>
    <definedName name="\c" localSheetId="0">#REF!</definedName>
    <definedName name="\c" localSheetId="2">#REF!</definedName>
    <definedName name="\c" localSheetId="32">#REF!</definedName>
    <definedName name="\c" localSheetId="44">#REF!</definedName>
    <definedName name="\c">#REF!</definedName>
    <definedName name="\d" localSheetId="26">#REF!</definedName>
    <definedName name="\d" localSheetId="18">#REF!</definedName>
    <definedName name="\d" localSheetId="19">#REF!</definedName>
    <definedName name="\d" localSheetId="0">#REF!</definedName>
    <definedName name="\d" localSheetId="2">#REF!</definedName>
    <definedName name="\d" localSheetId="32">#REF!</definedName>
    <definedName name="\d" localSheetId="44">#REF!</definedName>
    <definedName name="\d">#REF!</definedName>
    <definedName name="\e" localSheetId="26">#REF!</definedName>
    <definedName name="\e" localSheetId="18">#REF!</definedName>
    <definedName name="\e" localSheetId="19">#REF!</definedName>
    <definedName name="\e" localSheetId="0">#REF!</definedName>
    <definedName name="\e" localSheetId="2">#REF!</definedName>
    <definedName name="\e" localSheetId="32">#REF!</definedName>
    <definedName name="\e" localSheetId="44">#REF!</definedName>
    <definedName name="\e">#REF!</definedName>
    <definedName name="\f" localSheetId="26">#REF!</definedName>
    <definedName name="\f" localSheetId="18">#REF!</definedName>
    <definedName name="\f" localSheetId="19">#REF!</definedName>
    <definedName name="\f" localSheetId="0">#REF!</definedName>
    <definedName name="\f" localSheetId="2">#REF!</definedName>
    <definedName name="\f" localSheetId="32">#REF!</definedName>
    <definedName name="\f" localSheetId="44">#REF!</definedName>
    <definedName name="\f">#REF!</definedName>
    <definedName name="\g" localSheetId="26">#REF!</definedName>
    <definedName name="\g" localSheetId="18">#REF!</definedName>
    <definedName name="\g" localSheetId="19">#REF!</definedName>
    <definedName name="\g" localSheetId="0">#REF!</definedName>
    <definedName name="\g" localSheetId="2">#REF!</definedName>
    <definedName name="\g" localSheetId="32">#REF!</definedName>
    <definedName name="\g" localSheetId="44">#REF!</definedName>
    <definedName name="\g">#REF!</definedName>
    <definedName name="\j" localSheetId="26">#REF!</definedName>
    <definedName name="\j" localSheetId="18">#REF!</definedName>
    <definedName name="\j" localSheetId="19">#REF!</definedName>
    <definedName name="\j" localSheetId="0">#REF!</definedName>
    <definedName name="\j" localSheetId="2">#REF!</definedName>
    <definedName name="\j" localSheetId="32">#REF!</definedName>
    <definedName name="\j" localSheetId="44">#REF!</definedName>
    <definedName name="\j">#REF!</definedName>
    <definedName name="\k" localSheetId="26">#REF!</definedName>
    <definedName name="\k" localSheetId="18">#REF!</definedName>
    <definedName name="\k" localSheetId="19">#REF!</definedName>
    <definedName name="\k" localSheetId="0">#REF!</definedName>
    <definedName name="\k" localSheetId="2">#REF!</definedName>
    <definedName name="\k" localSheetId="32">#REF!</definedName>
    <definedName name="\k" localSheetId="44">#REF!</definedName>
    <definedName name="\k">#REF!</definedName>
    <definedName name="\m" localSheetId="26">#REF!</definedName>
    <definedName name="\m" localSheetId="18">#REF!</definedName>
    <definedName name="\m" localSheetId="19">#REF!</definedName>
    <definedName name="\m" localSheetId="0">#REF!</definedName>
    <definedName name="\m" localSheetId="2">#REF!</definedName>
    <definedName name="\m" localSheetId="32">#REF!</definedName>
    <definedName name="\m" localSheetId="44">#REF!</definedName>
    <definedName name="\m">#REF!</definedName>
    <definedName name="\n" localSheetId="26">#REF!</definedName>
    <definedName name="\n" localSheetId="18">#REF!</definedName>
    <definedName name="\n" localSheetId="19">#REF!</definedName>
    <definedName name="\n" localSheetId="0">#REF!</definedName>
    <definedName name="\n" localSheetId="2">#REF!</definedName>
    <definedName name="\n" localSheetId="32">#REF!</definedName>
    <definedName name="\n" localSheetId="44">#REF!</definedName>
    <definedName name="\n">#REF!</definedName>
    <definedName name="\o" localSheetId="26">#REF!</definedName>
    <definedName name="\o" localSheetId="18">#REF!</definedName>
    <definedName name="\o" localSheetId="19">#REF!</definedName>
    <definedName name="\o" localSheetId="0">#REF!</definedName>
    <definedName name="\o" localSheetId="2">#REF!</definedName>
    <definedName name="\o" localSheetId="32">#REF!</definedName>
    <definedName name="\o" localSheetId="44">#REF!</definedName>
    <definedName name="\o">#REF!</definedName>
    <definedName name="\p" localSheetId="26">#REF!</definedName>
    <definedName name="\p" localSheetId="18">#REF!</definedName>
    <definedName name="\p" localSheetId="19">#REF!</definedName>
    <definedName name="\p" localSheetId="0">#REF!</definedName>
    <definedName name="\p" localSheetId="2">#REF!</definedName>
    <definedName name="\p" localSheetId="32">#REF!</definedName>
    <definedName name="\p" localSheetId="44">#REF!</definedName>
    <definedName name="\p">#REF!</definedName>
    <definedName name="\s" localSheetId="26">#REF!</definedName>
    <definedName name="\s" localSheetId="18">#REF!</definedName>
    <definedName name="\s" localSheetId="19">#REF!</definedName>
    <definedName name="\s" localSheetId="0">#REF!</definedName>
    <definedName name="\s" localSheetId="2">#REF!</definedName>
    <definedName name="\s" localSheetId="32">#REF!</definedName>
    <definedName name="\s" localSheetId="44">#REF!</definedName>
    <definedName name="\s">#REF!</definedName>
    <definedName name="\t" localSheetId="26">#REF!</definedName>
    <definedName name="\t" localSheetId="18">#REF!</definedName>
    <definedName name="\t" localSheetId="19">#REF!</definedName>
    <definedName name="\t" localSheetId="0">#REF!</definedName>
    <definedName name="\t" localSheetId="2">#REF!</definedName>
    <definedName name="\t" localSheetId="32">#REF!</definedName>
    <definedName name="\t" localSheetId="44">#REF!</definedName>
    <definedName name="\t">#REF!</definedName>
    <definedName name="\w" localSheetId="26">#REF!</definedName>
    <definedName name="\w" localSheetId="18">#REF!</definedName>
    <definedName name="\w" localSheetId="19">#REF!</definedName>
    <definedName name="\w" localSheetId="0">#REF!</definedName>
    <definedName name="\w" localSheetId="2">#REF!</definedName>
    <definedName name="\w" localSheetId="32">#REF!</definedName>
    <definedName name="\w" localSheetId="44">#REF!</definedName>
    <definedName name="\w">#REF!</definedName>
    <definedName name="\x" localSheetId="26">#REF!</definedName>
    <definedName name="\x" localSheetId="18">#REF!</definedName>
    <definedName name="\x" localSheetId="19">#REF!</definedName>
    <definedName name="\x" localSheetId="0">#REF!</definedName>
    <definedName name="\x" localSheetId="2">#REF!</definedName>
    <definedName name="\x" localSheetId="32">#REF!</definedName>
    <definedName name="\x" localSheetId="44">#REF!</definedName>
    <definedName name="\x">#REF!</definedName>
    <definedName name="\z" localSheetId="26">#REF!</definedName>
    <definedName name="\z" localSheetId="18">#REF!</definedName>
    <definedName name="\z" localSheetId="19">#REF!</definedName>
    <definedName name="\z" localSheetId="0">#REF!</definedName>
    <definedName name="\z" localSheetId="2">#REF!</definedName>
    <definedName name="\z" localSheetId="32">#REF!</definedName>
    <definedName name="\z" localSheetId="44">#REF!</definedName>
    <definedName name="\z">#REF!</definedName>
    <definedName name="_" localSheetId="26">#REF!</definedName>
    <definedName name="_" localSheetId="18">#REF!</definedName>
    <definedName name="_" localSheetId="19">#REF!</definedName>
    <definedName name="_" localSheetId="28">#REF!</definedName>
    <definedName name="_" localSheetId="0">#REF!</definedName>
    <definedName name="_" localSheetId="2">#REF!</definedName>
    <definedName name="_" localSheetId="32">#REF!</definedName>
    <definedName name="_" localSheetId="44">#REF!</definedName>
    <definedName name="_">#REF!</definedName>
    <definedName name="_.._D__D__D__D_" localSheetId="26">#REF!</definedName>
    <definedName name="_.._D__D__D__D_" localSheetId="18">#REF!</definedName>
    <definedName name="_.._D__D__D__D_" localSheetId="19">#REF!</definedName>
    <definedName name="_.._D__D__D__D_" localSheetId="28">#REF!</definedName>
    <definedName name="_.._D__D__D__D_" localSheetId="0">#REF!</definedName>
    <definedName name="_.._D__D__D__D_" localSheetId="2">#REF!</definedName>
    <definedName name="_.._D__D__D__D_" localSheetId="32">#REF!</definedName>
    <definedName name="_.._D__D__D__D_" localSheetId="44">#REF!</definedName>
    <definedName name="_.._D__D__D__D_">#REF!</definedName>
    <definedName name="_________XL__ENTER_UNIT" localSheetId="26">#REF!</definedName>
    <definedName name="_________XL__ENTER_UNIT" localSheetId="18">#REF!</definedName>
    <definedName name="_________XL__ENTER_UNIT" localSheetId="19">#REF!</definedName>
    <definedName name="_________XL__ENTER_UNIT" localSheetId="28">#REF!</definedName>
    <definedName name="_________XL__ENTER_UNIT" localSheetId="0">#REF!</definedName>
    <definedName name="_________XL__ENTER_UNIT" localSheetId="2">#REF!</definedName>
    <definedName name="_________XL__ENTER_UNIT" localSheetId="32">#REF!</definedName>
    <definedName name="_________XL__ENTER_UNIT" localSheetId="44">#REF!</definedName>
    <definedName name="_________XL__ENTER_UNIT">#REF!</definedName>
    <definedName name="_______SCH6" localSheetId="26">#REF!</definedName>
    <definedName name="_______SCH6" localSheetId="18">#REF!</definedName>
    <definedName name="_______SCH6" localSheetId="19">#REF!</definedName>
    <definedName name="_______SCH6" localSheetId="28">#REF!</definedName>
    <definedName name="_______SCH6" localSheetId="0">#REF!</definedName>
    <definedName name="_______SCH6" localSheetId="32">#REF!</definedName>
    <definedName name="_______SCH6" localSheetId="44">#REF!</definedName>
    <definedName name="_______SCH6">#REF!</definedName>
    <definedName name="_______XL__ENTER_UNIT" localSheetId="3">#REF!</definedName>
    <definedName name="_______XL__ENTER_UNIT" localSheetId="26">#REF!</definedName>
    <definedName name="_______XL__ENTER_UNIT" localSheetId="18">#REF!</definedName>
    <definedName name="_______XL__ENTER_UNIT" localSheetId="19">#REF!</definedName>
    <definedName name="_______XL__ENTER_UNIT" localSheetId="28">#REF!</definedName>
    <definedName name="_______XL__ENTER_UNIT" localSheetId="0">#REF!</definedName>
    <definedName name="_______XL__ENTER_UNIT" localSheetId="2">#REF!</definedName>
    <definedName name="_______XL__ENTER_UNIT" localSheetId="32">#REF!</definedName>
    <definedName name="_______XL__ENTER_UNIT" localSheetId="44">#REF!</definedName>
    <definedName name="_______XL__ENTER_UNIT">#REF!</definedName>
    <definedName name="______SCH6" localSheetId="3">#REF!</definedName>
    <definedName name="______SCH6" localSheetId="26">#REF!</definedName>
    <definedName name="______SCH6" localSheetId="18">#REF!</definedName>
    <definedName name="______SCH6" localSheetId="19">#REF!</definedName>
    <definedName name="______SCH6" localSheetId="28">#REF!</definedName>
    <definedName name="______SCH6" localSheetId="0">#REF!</definedName>
    <definedName name="______SCH6" localSheetId="2">#REF!</definedName>
    <definedName name="______SCH6" localSheetId="32">#REF!</definedName>
    <definedName name="______SCH6" localSheetId="44">#REF!</definedName>
    <definedName name="______SCH6">#REF!</definedName>
    <definedName name="______XL__ENTER_UNIT" localSheetId="3">#REF!</definedName>
    <definedName name="______XL__ENTER_UNIT" localSheetId="26">#REF!</definedName>
    <definedName name="______XL__ENTER_UNIT" localSheetId="18">#REF!</definedName>
    <definedName name="______XL__ENTER_UNIT" localSheetId="19">#REF!</definedName>
    <definedName name="______XL__ENTER_UNIT" localSheetId="28">#REF!</definedName>
    <definedName name="______XL__ENTER_UNIT" localSheetId="0">#REF!</definedName>
    <definedName name="______XL__ENTER_UNIT" localSheetId="2">#REF!</definedName>
    <definedName name="______XL__ENTER_UNIT" localSheetId="32">#REF!</definedName>
    <definedName name="______XL__ENTER_UNIT" localSheetId="44">#REF!</definedName>
    <definedName name="______XL__ENTER_UNIT">#REF!</definedName>
    <definedName name="_____SCH6" localSheetId="3">#REF!</definedName>
    <definedName name="_____SCH6" localSheetId="26">#REF!</definedName>
    <definedName name="_____SCH6" localSheetId="18">#REF!</definedName>
    <definedName name="_____SCH6" localSheetId="19">#REF!</definedName>
    <definedName name="_____SCH6" localSheetId="28">#REF!</definedName>
    <definedName name="_____SCH6" localSheetId="0">#REF!</definedName>
    <definedName name="_____SCH6" localSheetId="2">#REF!</definedName>
    <definedName name="_____SCH6" localSheetId="32">#REF!</definedName>
    <definedName name="_____SCH6" localSheetId="44">#REF!</definedName>
    <definedName name="_____SCH6">#REF!</definedName>
    <definedName name="____SCH6" localSheetId="26">#REF!</definedName>
    <definedName name="____SCH6" localSheetId="18">#REF!</definedName>
    <definedName name="____SCH6" localSheetId="19">#REF!</definedName>
    <definedName name="____SCH6" localSheetId="28">#REF!</definedName>
    <definedName name="____SCH6" localSheetId="0">#REF!</definedName>
    <definedName name="____SCH6" localSheetId="32">#REF!</definedName>
    <definedName name="____SCH6" localSheetId="44">#REF!</definedName>
    <definedName name="____SCH6">#REF!</definedName>
    <definedName name="____XL__ENTER_UNIT" localSheetId="3">#REF!</definedName>
    <definedName name="____XL__ENTER_UNIT" localSheetId="26">#REF!</definedName>
    <definedName name="____XL__ENTER_UNIT" localSheetId="18">#REF!</definedName>
    <definedName name="____XL__ENTER_UNIT" localSheetId="19">#REF!</definedName>
    <definedName name="____XL__ENTER_UNIT" localSheetId="28">#REF!</definedName>
    <definedName name="____XL__ENTER_UNIT" localSheetId="0">#REF!</definedName>
    <definedName name="____XL__ENTER_UNIT" localSheetId="2">#REF!</definedName>
    <definedName name="____XL__ENTER_UNIT" localSheetId="32">#REF!</definedName>
    <definedName name="____XL__ENTER_UNIT" localSheetId="44">#REF!</definedName>
    <definedName name="____XL__ENTER_UNIT">#REF!</definedName>
    <definedName name="___INDEX_SHEET___ASAP_Utilities" localSheetId="26">#REF!</definedName>
    <definedName name="___INDEX_SHEET___ASAP_Utilities" localSheetId="18">#REF!</definedName>
    <definedName name="___INDEX_SHEET___ASAP_Utilities" localSheetId="19">#REF!</definedName>
    <definedName name="___INDEX_SHEET___ASAP_Utilities" localSheetId="28">#REF!</definedName>
    <definedName name="___INDEX_SHEET___ASAP_Utilities" localSheetId="0">#REF!</definedName>
    <definedName name="___INDEX_SHEET___ASAP_Utilities" localSheetId="2">#REF!</definedName>
    <definedName name="___INDEX_SHEET___ASAP_Utilities" localSheetId="32">#REF!</definedName>
    <definedName name="___INDEX_SHEET___ASAP_Utilities" localSheetId="44">#REF!</definedName>
    <definedName name="___INDEX_SHEET___ASAP_Utilities">#REF!</definedName>
    <definedName name="___SCH6" localSheetId="26">#REF!</definedName>
    <definedName name="___SCH6" localSheetId="18">#REF!</definedName>
    <definedName name="___SCH6" localSheetId="19">#REF!</definedName>
    <definedName name="___SCH6" localSheetId="28">#REF!</definedName>
    <definedName name="___SCH6" localSheetId="0">#REF!</definedName>
    <definedName name="___SCH6" localSheetId="32">#REF!</definedName>
    <definedName name="___SCH6" localSheetId="44">#REF!</definedName>
    <definedName name="___SCH6">#REF!</definedName>
    <definedName name="___XL__ENTER_UNIT" localSheetId="3">#REF!</definedName>
    <definedName name="___XL__ENTER_UNIT" localSheetId="26">#REF!</definedName>
    <definedName name="___XL__ENTER_UNIT" localSheetId="18">#REF!</definedName>
    <definedName name="___XL__ENTER_UNIT" localSheetId="19">#REF!</definedName>
    <definedName name="___XL__ENTER_UNIT" localSheetId="28">#REF!</definedName>
    <definedName name="___XL__ENTER_UNIT" localSheetId="0">#REF!</definedName>
    <definedName name="___XL__ENTER_UNIT" localSheetId="2">#REF!</definedName>
    <definedName name="___XL__ENTER_UNIT" localSheetId="32">#REF!</definedName>
    <definedName name="___XL__ENTER_UNIT" localSheetId="44">#REF!</definedName>
    <definedName name="___XL__ENTER_UNIT">#REF!</definedName>
    <definedName name="__123Graph_A" localSheetId="26" hidden="1">#REF!</definedName>
    <definedName name="__123Graph_A" localSheetId="31" hidden="1">#REF!</definedName>
    <definedName name="__123Graph_A" localSheetId="33" hidden="1">#REF!</definedName>
    <definedName name="__123Graph_A" localSheetId="13" hidden="1">#REF!</definedName>
    <definedName name="__123Graph_A" localSheetId="18" hidden="1">#REF!</definedName>
    <definedName name="__123Graph_A" localSheetId="19" hidden="1">#REF!</definedName>
    <definedName name="__123Graph_A" localSheetId="28" hidden="1">#REF!</definedName>
    <definedName name="__123Graph_A" localSheetId="0" hidden="1">#REF!</definedName>
    <definedName name="__123Graph_A" localSheetId="32" hidden="1">#REF!</definedName>
    <definedName name="__123Graph_A" localSheetId="44" hidden="1">#REF!</definedName>
    <definedName name="__123Graph_A" hidden="1">#REF!</definedName>
    <definedName name="__123Graph_ASTNPLF" localSheetId="26" hidden="1">#REF!</definedName>
    <definedName name="__123Graph_ASTNPLF" localSheetId="31" hidden="1">#REF!</definedName>
    <definedName name="__123Graph_ASTNPLF" localSheetId="33" hidden="1">#REF!</definedName>
    <definedName name="__123Graph_ASTNPLF" localSheetId="13" hidden="1">#REF!</definedName>
    <definedName name="__123Graph_ASTNPLF" localSheetId="18" hidden="1">#REF!</definedName>
    <definedName name="__123Graph_ASTNPLF" localSheetId="19" hidden="1">#REF!</definedName>
    <definedName name="__123Graph_ASTNPLF" localSheetId="28" hidden="1">#REF!</definedName>
    <definedName name="__123Graph_ASTNPLF" localSheetId="0" hidden="1">#REF!</definedName>
    <definedName name="__123Graph_ASTNPLF" localSheetId="32" hidden="1">#REF!</definedName>
    <definedName name="__123Graph_ASTNPLF" localSheetId="44" hidden="1">#REF!</definedName>
    <definedName name="__123Graph_ASTNPLF" hidden="1">#REF!</definedName>
    <definedName name="__123Graph_B" localSheetId="26" hidden="1">#REF!</definedName>
    <definedName name="__123Graph_B" localSheetId="31" hidden="1">#REF!</definedName>
    <definedName name="__123Graph_B" localSheetId="33" hidden="1">#REF!</definedName>
    <definedName name="__123Graph_B" localSheetId="13" hidden="1">#REF!</definedName>
    <definedName name="__123Graph_B" localSheetId="18" hidden="1">#REF!</definedName>
    <definedName name="__123Graph_B" localSheetId="19" hidden="1">#REF!</definedName>
    <definedName name="__123Graph_B" localSheetId="28" hidden="1">#REF!</definedName>
    <definedName name="__123Graph_B" localSheetId="0" hidden="1">#REF!</definedName>
    <definedName name="__123Graph_B" localSheetId="32" hidden="1">#REF!</definedName>
    <definedName name="__123Graph_B" localSheetId="44" hidden="1">#REF!</definedName>
    <definedName name="__123Graph_B" hidden="1">#REF!</definedName>
    <definedName name="__123Graph_BSTNPLF" localSheetId="26" hidden="1">#REF!</definedName>
    <definedName name="__123Graph_BSTNPLF" localSheetId="31" hidden="1">#REF!</definedName>
    <definedName name="__123Graph_BSTNPLF" localSheetId="33" hidden="1">#REF!</definedName>
    <definedName name="__123Graph_BSTNPLF" localSheetId="13" hidden="1">#REF!</definedName>
    <definedName name="__123Graph_BSTNPLF" localSheetId="18" hidden="1">#REF!</definedName>
    <definedName name="__123Graph_BSTNPLF" localSheetId="19" hidden="1">#REF!</definedName>
    <definedName name="__123Graph_BSTNPLF" localSheetId="28" hidden="1">#REF!</definedName>
    <definedName name="__123Graph_BSTNPLF" localSheetId="0" hidden="1">#REF!</definedName>
    <definedName name="__123Graph_BSTNPLF" localSheetId="32" hidden="1">#REF!</definedName>
    <definedName name="__123Graph_BSTNPLF" localSheetId="44" hidden="1">#REF!</definedName>
    <definedName name="__123Graph_BSTNPLF" hidden="1">#REF!</definedName>
    <definedName name="__123Graph_C" localSheetId="26" hidden="1">#REF!</definedName>
    <definedName name="__123Graph_C" localSheetId="31" hidden="1">#REF!</definedName>
    <definedName name="__123Graph_C" localSheetId="33" hidden="1">#REF!</definedName>
    <definedName name="__123Graph_C" localSheetId="13" hidden="1">#REF!</definedName>
    <definedName name="__123Graph_C" localSheetId="18" hidden="1">#REF!</definedName>
    <definedName name="__123Graph_C" localSheetId="19" hidden="1">#REF!</definedName>
    <definedName name="__123Graph_C" localSheetId="28" hidden="1">#REF!</definedName>
    <definedName name="__123Graph_C" localSheetId="0" hidden="1">#REF!</definedName>
    <definedName name="__123Graph_C" localSheetId="32" hidden="1">#REF!</definedName>
    <definedName name="__123Graph_C" localSheetId="44" hidden="1">#REF!</definedName>
    <definedName name="__123Graph_C" hidden="1">#REF!</definedName>
    <definedName name="__123Graph_CSTNPLF" localSheetId="26" hidden="1">#REF!</definedName>
    <definedName name="__123Graph_CSTNPLF" localSheetId="31" hidden="1">#REF!</definedName>
    <definedName name="__123Graph_CSTNPLF" localSheetId="33" hidden="1">#REF!</definedName>
    <definedName name="__123Graph_CSTNPLF" localSheetId="13" hidden="1">#REF!</definedName>
    <definedName name="__123Graph_CSTNPLF" localSheetId="18" hidden="1">#REF!</definedName>
    <definedName name="__123Graph_CSTNPLF" localSheetId="19" hidden="1">#REF!</definedName>
    <definedName name="__123Graph_CSTNPLF" localSheetId="28" hidden="1">#REF!</definedName>
    <definedName name="__123Graph_CSTNPLF" localSheetId="0" hidden="1">#REF!</definedName>
    <definedName name="__123Graph_CSTNPLF" localSheetId="32" hidden="1">#REF!</definedName>
    <definedName name="__123Graph_CSTNPLF" localSheetId="44" hidden="1">#REF!</definedName>
    <definedName name="__123Graph_CSTNPLF" hidden="1">#REF!</definedName>
    <definedName name="__123Graph_X" localSheetId="26" hidden="1">#REF!</definedName>
    <definedName name="__123Graph_X" localSheetId="31" hidden="1">#REF!</definedName>
    <definedName name="__123Graph_X" localSheetId="33" hidden="1">#REF!</definedName>
    <definedName name="__123Graph_X" localSheetId="13" hidden="1">#REF!</definedName>
    <definedName name="__123Graph_X" localSheetId="18" hidden="1">#REF!</definedName>
    <definedName name="__123Graph_X" localSheetId="19" hidden="1">#REF!</definedName>
    <definedName name="__123Graph_X" localSheetId="28" hidden="1">#REF!</definedName>
    <definedName name="__123Graph_X" localSheetId="0" hidden="1">#REF!</definedName>
    <definedName name="__123Graph_X" localSheetId="32" hidden="1">#REF!</definedName>
    <definedName name="__123Graph_X" localSheetId="44" hidden="1">#REF!</definedName>
    <definedName name="__123Graph_X" hidden="1">#REF!</definedName>
    <definedName name="__123Graph_XSTNPLF" localSheetId="26" hidden="1">#REF!</definedName>
    <definedName name="__123Graph_XSTNPLF" localSheetId="31" hidden="1">#REF!</definedName>
    <definedName name="__123Graph_XSTNPLF" localSheetId="33" hidden="1">#REF!</definedName>
    <definedName name="__123Graph_XSTNPLF" localSheetId="13" hidden="1">#REF!</definedName>
    <definedName name="__123Graph_XSTNPLF" localSheetId="18" hidden="1">#REF!</definedName>
    <definedName name="__123Graph_XSTNPLF" localSheetId="19" hidden="1">#REF!</definedName>
    <definedName name="__123Graph_XSTNPLF" localSheetId="28" hidden="1">#REF!</definedName>
    <definedName name="__123Graph_XSTNPLF" localSheetId="0" hidden="1">#REF!</definedName>
    <definedName name="__123Graph_XSTNPLF" localSheetId="32" hidden="1">#REF!</definedName>
    <definedName name="__123Graph_XSTNPLF" localSheetId="44" hidden="1">#REF!</definedName>
    <definedName name="__123Graph_XSTNPLF" hidden="1">#REF!</definedName>
    <definedName name="__DOWN_10__GOTO" localSheetId="3">#REF!</definedName>
    <definedName name="__DOWN_10__GOTO" localSheetId="26">#REF!</definedName>
    <definedName name="__DOWN_10__GOTO" localSheetId="18">#REF!</definedName>
    <definedName name="__DOWN_10__GOTO" localSheetId="19">#REF!</definedName>
    <definedName name="__DOWN_10__GOTO" localSheetId="28">#REF!</definedName>
    <definedName name="__DOWN_10__GOTO" localSheetId="0">#REF!</definedName>
    <definedName name="__DOWN_10__GOTO" localSheetId="2">#REF!</definedName>
    <definedName name="__DOWN_10__GOTO" localSheetId="32">#REF!</definedName>
    <definedName name="__DOWN_10__GOTO" localSheetId="44">#REF!</definedName>
    <definedName name="__DOWN_10__GOTO">#REF!</definedName>
    <definedName name="__ES84__EW84_0." localSheetId="26">#REF!</definedName>
    <definedName name="__ES84__EW84_0." localSheetId="18">#REF!</definedName>
    <definedName name="__ES84__EW84_0." localSheetId="19">#REF!</definedName>
    <definedName name="__ES84__EW84_0." localSheetId="28">#REF!</definedName>
    <definedName name="__ES84__EW84_0." localSheetId="0">#REF!</definedName>
    <definedName name="__ES84__EW84_0." localSheetId="2">#REF!</definedName>
    <definedName name="__ES84__EW84_0." localSheetId="32">#REF!</definedName>
    <definedName name="__ES84__EW84_0." localSheetId="44">#REF!</definedName>
    <definedName name="__ES84__EW84_0.">#REF!</definedName>
    <definedName name="__GOTO_EP84__AV" localSheetId="26">#REF!</definedName>
    <definedName name="__GOTO_EP84__AV" localSheetId="18">#REF!</definedName>
    <definedName name="__GOTO_EP84__AV" localSheetId="19">#REF!</definedName>
    <definedName name="__GOTO_EP84__AV" localSheetId="28">#REF!</definedName>
    <definedName name="__GOTO_EP84__AV" localSheetId="0">#REF!</definedName>
    <definedName name="__GOTO_EP84__AV" localSheetId="2">#REF!</definedName>
    <definedName name="__GOTO_EP84__AV" localSheetId="32">#REF!</definedName>
    <definedName name="__GOTO_EP84__AV" localSheetId="44">#REF!</definedName>
    <definedName name="__GOTO_EP84__AV">#REF!</definedName>
    <definedName name="__SCH6" localSheetId="26">#REF!</definedName>
    <definedName name="__SCH6" localSheetId="18">#REF!</definedName>
    <definedName name="__SCH6" localSheetId="19">#REF!</definedName>
    <definedName name="__SCH6" localSheetId="28">#REF!</definedName>
    <definedName name="__SCH6" localSheetId="0">#REF!</definedName>
    <definedName name="__SCH6" localSheetId="32">#REF!</definedName>
    <definedName name="__SCH6" localSheetId="44">#REF!</definedName>
    <definedName name="__SCH6">#REF!</definedName>
    <definedName name="__SUM_CS57..CS6" localSheetId="3">#REF!</definedName>
    <definedName name="__SUM_CS57..CS6" localSheetId="26">#REF!</definedName>
    <definedName name="__SUM_CS57..CS6" localSheetId="18">#REF!</definedName>
    <definedName name="__SUM_CS57..CS6" localSheetId="19">#REF!</definedName>
    <definedName name="__SUM_CS57..CS6" localSheetId="28">#REF!</definedName>
    <definedName name="__SUM_CS57..CS6" localSheetId="0">#REF!</definedName>
    <definedName name="__SUM_CS57..CS6" localSheetId="2">#REF!</definedName>
    <definedName name="__SUM_CS57..CS6" localSheetId="32">#REF!</definedName>
    <definedName name="__SUM_CS57..CS6" localSheetId="44">#REF!</definedName>
    <definedName name="__SUM_CS57..CS6">#REF!</definedName>
    <definedName name="__SUM_CS65..CS7" localSheetId="26">#REF!</definedName>
    <definedName name="__SUM_CS65..CS7" localSheetId="18">#REF!</definedName>
    <definedName name="__SUM_CS65..CS7" localSheetId="19">#REF!</definedName>
    <definedName name="__SUM_CS65..CS7" localSheetId="28">#REF!</definedName>
    <definedName name="__SUM_CS65..CS7" localSheetId="0">#REF!</definedName>
    <definedName name="__SUM_CS65..CS7" localSheetId="2">#REF!</definedName>
    <definedName name="__SUM_CS65..CS7" localSheetId="32">#REF!</definedName>
    <definedName name="__SUM_CS65..CS7" localSheetId="44">#REF!</definedName>
    <definedName name="__SUM_CS65..CS7">#REF!</definedName>
    <definedName name="__SUM_FQ20..FQ2" localSheetId="26">#REF!</definedName>
    <definedName name="__SUM_FQ20..FQ2" localSheetId="18">#REF!</definedName>
    <definedName name="__SUM_FQ20..FQ2" localSheetId="19">#REF!</definedName>
    <definedName name="__SUM_FQ20..FQ2" localSheetId="28">#REF!</definedName>
    <definedName name="__SUM_FQ20..FQ2" localSheetId="0">#REF!</definedName>
    <definedName name="__SUM_FQ20..FQ2" localSheetId="2">#REF!</definedName>
    <definedName name="__SUM_FQ20..FQ2" localSheetId="32">#REF!</definedName>
    <definedName name="__SUM_FQ20..FQ2" localSheetId="44">#REF!</definedName>
    <definedName name="__SUM_FQ20..FQ2">#REF!</definedName>
    <definedName name="__SUM_FQ28..FQ3" localSheetId="26">#REF!</definedName>
    <definedName name="__SUM_FQ28..FQ3" localSheetId="18">#REF!</definedName>
    <definedName name="__SUM_FQ28..FQ3" localSheetId="19">#REF!</definedName>
    <definedName name="__SUM_FQ28..FQ3" localSheetId="28">#REF!</definedName>
    <definedName name="__SUM_FQ28..FQ3" localSheetId="0">#REF!</definedName>
    <definedName name="__SUM_FQ28..FQ3" localSheetId="2">#REF!</definedName>
    <definedName name="__SUM_FQ28..FQ3" localSheetId="32">#REF!</definedName>
    <definedName name="__SUM_FQ28..FQ3" localSheetId="44">#REF!</definedName>
    <definedName name="__SUM_FQ28..FQ3">#REF!</definedName>
    <definedName name="__XL__ENTER_UNIT" localSheetId="26">#REF!</definedName>
    <definedName name="__XL__ENTER_UNIT" localSheetId="18">#REF!</definedName>
    <definedName name="__XL__ENTER_UNIT" localSheetId="19">#REF!</definedName>
    <definedName name="__XL__ENTER_UNIT" localSheetId="28">#REF!</definedName>
    <definedName name="__XL__ENTER_UNIT" localSheetId="0">#REF!</definedName>
    <definedName name="__XL__ENTER_UNIT" localSheetId="2">#REF!</definedName>
    <definedName name="__XL__ENTER_UNIT" localSheetId="32">#REF!</definedName>
    <definedName name="__XL__ENTER_UNIT" localSheetId="44">#REF!</definedName>
    <definedName name="__XL__ENTER_UNIT">#REF!</definedName>
    <definedName name="_5" localSheetId="26">#REF!</definedName>
    <definedName name="_5" localSheetId="18">#REF!</definedName>
    <definedName name="_5" localSheetId="19">#REF!</definedName>
    <definedName name="_5" localSheetId="28">#REF!</definedName>
    <definedName name="_5" localSheetId="0">#REF!</definedName>
    <definedName name="_5" localSheetId="2">#REF!</definedName>
    <definedName name="_5" localSheetId="32">#REF!</definedName>
    <definedName name="_5" localSheetId="44">#REF!</definedName>
    <definedName name="_5">#REF!</definedName>
    <definedName name="_6" localSheetId="26">#REF!</definedName>
    <definedName name="_6" localSheetId="18">#REF!</definedName>
    <definedName name="_6" localSheetId="19">#REF!</definedName>
    <definedName name="_6" localSheetId="28">#REF!</definedName>
    <definedName name="_6" localSheetId="0">#REF!</definedName>
    <definedName name="_6" localSheetId="2">#REF!</definedName>
    <definedName name="_6" localSheetId="32">#REF!</definedName>
    <definedName name="_6" localSheetId="44">#REF!</definedName>
    <definedName name="_6">#REF!</definedName>
    <definedName name="_D___GOTO_GK112" localSheetId="26">#REF!</definedName>
    <definedName name="_D___GOTO_GK112" localSheetId="18">#REF!</definedName>
    <definedName name="_D___GOTO_GK112" localSheetId="19">#REF!</definedName>
    <definedName name="_D___GOTO_GK112" localSheetId="28">#REF!</definedName>
    <definedName name="_D___GOTO_GK112" localSheetId="0">#REF!</definedName>
    <definedName name="_D___GOTO_GK112" localSheetId="2">#REF!</definedName>
    <definedName name="_D___GOTO_GK112" localSheetId="32">#REF!</definedName>
    <definedName name="_D___GOTO_GK112" localSheetId="44">#REF!</definedName>
    <definedName name="_D___GOTO_GK112">#REF!</definedName>
    <definedName name="_D___GOTO_GK56_" localSheetId="26">#REF!</definedName>
    <definedName name="_D___GOTO_GK56_" localSheetId="18">#REF!</definedName>
    <definedName name="_D___GOTO_GK56_" localSheetId="19">#REF!</definedName>
    <definedName name="_D___GOTO_GK56_" localSheetId="28">#REF!</definedName>
    <definedName name="_D___GOTO_GK56_" localSheetId="0">#REF!</definedName>
    <definedName name="_D___GOTO_GK56_" localSheetId="2">#REF!</definedName>
    <definedName name="_D___GOTO_GK56_" localSheetId="32">#REF!</definedName>
    <definedName name="_D___GOTO_GK56_" localSheetId="44">#REF!</definedName>
    <definedName name="_D___GOTO_GK56_">#REF!</definedName>
    <definedName name="_D__D___L___GOT" localSheetId="26">#REF!</definedName>
    <definedName name="_D__D___L___GOT" localSheetId="18">#REF!</definedName>
    <definedName name="_D__D___L___GOT" localSheetId="19">#REF!</definedName>
    <definedName name="_D__D___L___GOT" localSheetId="28">#REF!</definedName>
    <definedName name="_D__D___L___GOT" localSheetId="0">#REF!</definedName>
    <definedName name="_D__D___L___GOT" localSheetId="2">#REF!</definedName>
    <definedName name="_D__D___L___GOT" localSheetId="32">#REF!</definedName>
    <definedName name="_D__D___L___GOT" localSheetId="44">#REF!</definedName>
    <definedName name="_D__D___L___GOT">#REF!</definedName>
    <definedName name="_D__D__D___D__D" localSheetId="26">#REF!</definedName>
    <definedName name="_D__D__D___D__D" localSheetId="18">#REF!</definedName>
    <definedName name="_D__D__D___D__D" localSheetId="19">#REF!</definedName>
    <definedName name="_D__D__D___D__D" localSheetId="28">#REF!</definedName>
    <definedName name="_D__D__D___D__D" localSheetId="0">#REF!</definedName>
    <definedName name="_D__D__D___D__D" localSheetId="2">#REF!</definedName>
    <definedName name="_D__D__D___D__D" localSheetId="32">#REF!</definedName>
    <definedName name="_D__D__D___D__D" localSheetId="44">#REF!</definedName>
    <definedName name="_D__D__D___D__D">#REF!</definedName>
    <definedName name="_D_19__U_19_" localSheetId="26">#REF!</definedName>
    <definedName name="_D_19__U_19_" localSheetId="18">#REF!</definedName>
    <definedName name="_D_19__U_19_" localSheetId="19">#REF!</definedName>
    <definedName name="_D_19__U_19_" localSheetId="28">#REF!</definedName>
    <definedName name="_D_19__U_19_" localSheetId="0">#REF!</definedName>
    <definedName name="_D_19__U_19_" localSheetId="2">#REF!</definedName>
    <definedName name="_D_19__U_19_" localSheetId="32">#REF!</definedName>
    <definedName name="_D_19__U_19_" localSheetId="44">#REF!</definedName>
    <definedName name="_D_19__U_19_">#REF!</definedName>
    <definedName name="_DOWN_9__RIGHT_" localSheetId="26">#REF!</definedName>
    <definedName name="_DOWN_9__RIGHT_" localSheetId="18">#REF!</definedName>
    <definedName name="_DOWN_9__RIGHT_" localSheetId="19">#REF!</definedName>
    <definedName name="_DOWN_9__RIGHT_" localSheetId="28">#REF!</definedName>
    <definedName name="_DOWN_9__RIGHT_" localSheetId="0">#REF!</definedName>
    <definedName name="_DOWN_9__RIGHT_" localSheetId="2">#REF!</definedName>
    <definedName name="_DOWN_9__RIGHT_" localSheetId="32">#REF!</definedName>
    <definedName name="_DOWN_9__RIGHT_" localSheetId="44">#REF!</definedName>
    <definedName name="_DOWN_9__RIGHT_">#REF!</definedName>
    <definedName name="_Fill" localSheetId="26" hidden="1">#REF!</definedName>
    <definedName name="_Fill" localSheetId="31" hidden="1">#REF!</definedName>
    <definedName name="_Fill" localSheetId="33" hidden="1">#REF!</definedName>
    <definedName name="_Fill" localSheetId="13" hidden="1">#REF!</definedName>
    <definedName name="_Fill" localSheetId="18" hidden="1">#REF!</definedName>
    <definedName name="_Fill" localSheetId="19" hidden="1">#REF!</definedName>
    <definedName name="_Fill" localSheetId="29" hidden="1">#REF!</definedName>
    <definedName name="_Fill" localSheetId="28">#REF!</definedName>
    <definedName name="_Fill" localSheetId="0" hidden="1">#REF!</definedName>
    <definedName name="_Fill" localSheetId="2" hidden="1">#REF!</definedName>
    <definedName name="_Fill" localSheetId="32" hidden="1">#REF!</definedName>
    <definedName name="_Fill" localSheetId="44" hidden="1">#REF!</definedName>
    <definedName name="_Fill" hidden="1">#REF!</definedName>
    <definedName name="_xlnm._FilterDatabase" localSheetId="37" hidden="1">'F14.4'!$C$1:$C$60</definedName>
    <definedName name="_FROM__R__R__08" localSheetId="3">#REF!</definedName>
    <definedName name="_FROM__R__R__08" localSheetId="26">#REF!</definedName>
    <definedName name="_FROM__R__R__08" localSheetId="18">#REF!</definedName>
    <definedName name="_FROM__R__R__08" localSheetId="19">#REF!</definedName>
    <definedName name="_FROM__R__R__08" localSheetId="28">#REF!</definedName>
    <definedName name="_FROM__R__R__08" localSheetId="0">#REF!</definedName>
    <definedName name="_FROM__R__R__08" localSheetId="2">#REF!</definedName>
    <definedName name="_FROM__R__R__08" localSheetId="32">#REF!</definedName>
    <definedName name="_FROM__R__R__08" localSheetId="44">#REF!</definedName>
    <definedName name="_FROM__R__R__08">#REF!</definedName>
    <definedName name="_FROM__R__R__16" localSheetId="26">#REF!</definedName>
    <definedName name="_FROM__R__R__16" localSheetId="18">#REF!</definedName>
    <definedName name="_FROM__R__R__16" localSheetId="19">#REF!</definedName>
    <definedName name="_FROM__R__R__16" localSheetId="28">#REF!</definedName>
    <definedName name="_FROM__R__R__16" localSheetId="0">#REF!</definedName>
    <definedName name="_FROM__R__R__16" localSheetId="2">#REF!</definedName>
    <definedName name="_FROM__R__R__16" localSheetId="32">#REF!</definedName>
    <definedName name="_FROM__R__R__16" localSheetId="44">#REF!</definedName>
    <definedName name="_FROM__R__R__16">#REF!</definedName>
    <definedName name="_GENERATION__R_" localSheetId="26">#REF!</definedName>
    <definedName name="_GENERATION__R_" localSheetId="18">#REF!</definedName>
    <definedName name="_GENERATION__R_" localSheetId="19">#REF!</definedName>
    <definedName name="_GENERATION__R_" localSheetId="28">#REF!</definedName>
    <definedName name="_GENERATION__R_" localSheetId="0">#REF!</definedName>
    <definedName name="_GENERATION__R_" localSheetId="2">#REF!</definedName>
    <definedName name="_GENERATION__R_" localSheetId="32">#REF!</definedName>
    <definedName name="_GENERATION__R_" localSheetId="44">#REF!</definedName>
    <definedName name="_GENERATION__R_">#REF!</definedName>
    <definedName name="_GOTO_BT49__R__" localSheetId="26">#REF!</definedName>
    <definedName name="_GOTO_BT49__R__" localSheetId="18">#REF!</definedName>
    <definedName name="_GOTO_BT49__R__" localSheetId="19">#REF!</definedName>
    <definedName name="_GOTO_BT49__R__" localSheetId="28">#REF!</definedName>
    <definedName name="_GOTO_BT49__R__" localSheetId="0">#REF!</definedName>
    <definedName name="_GOTO_BT49__R__" localSheetId="2">#REF!</definedName>
    <definedName name="_GOTO_BT49__R__" localSheetId="32">#REF!</definedName>
    <definedName name="_GOTO_BT49__R__" localSheetId="44">#REF!</definedName>
    <definedName name="_GOTO_BT49__R__">#REF!</definedName>
    <definedName name="_GOTO_CF11__?__" localSheetId="26">#REF!</definedName>
    <definedName name="_GOTO_CF11__?__" localSheetId="18">#REF!</definedName>
    <definedName name="_GOTO_CF11__?__" localSheetId="19">#REF!</definedName>
    <definedName name="_GOTO_CF11__?__" localSheetId="28">#REF!</definedName>
    <definedName name="_GOTO_CF11__?__" localSheetId="0">#REF!</definedName>
    <definedName name="_GOTO_CF11__?__" localSheetId="2">#REF!</definedName>
    <definedName name="_GOTO_CF11__?__" localSheetId="32">#REF!</definedName>
    <definedName name="_GOTO_CF11__?__" localSheetId="44">#REF!</definedName>
    <definedName name="_GOTO_CF11__?__">#REF!</definedName>
    <definedName name="_GOTO_EO75__WEK" localSheetId="26">#REF!</definedName>
    <definedName name="_GOTO_EO75__WEK" localSheetId="18">#REF!</definedName>
    <definedName name="_GOTO_EO75__WEK" localSheetId="19">#REF!</definedName>
    <definedName name="_GOTO_EO75__WEK" localSheetId="28">#REF!</definedName>
    <definedName name="_GOTO_EO75__WEK" localSheetId="0">#REF!</definedName>
    <definedName name="_GOTO_EO75__WEK" localSheetId="2">#REF!</definedName>
    <definedName name="_GOTO_EO75__WEK" localSheetId="32">#REF!</definedName>
    <definedName name="_GOTO_EO75__WEK" localSheetId="44">#REF!</definedName>
    <definedName name="_GOTO_EO75__WEK">#REF!</definedName>
    <definedName name="_GOTO_EP82__PEA" localSheetId="26">#REF!</definedName>
    <definedName name="_GOTO_EP82__PEA" localSheetId="18">#REF!</definedName>
    <definedName name="_GOTO_EP82__PEA" localSheetId="19">#REF!</definedName>
    <definedName name="_GOTO_EP82__PEA" localSheetId="28">#REF!</definedName>
    <definedName name="_GOTO_EP82__PEA" localSheetId="0">#REF!</definedName>
    <definedName name="_GOTO_EP82__PEA" localSheetId="2">#REF!</definedName>
    <definedName name="_GOTO_EP82__PEA" localSheetId="32">#REF!</definedName>
    <definedName name="_GOTO_EP82__PEA" localSheetId="44">#REF!</definedName>
    <definedName name="_GOTO_EP82__PEA">#REF!</definedName>
    <definedName name="_GOTO_EP86__PER" localSheetId="26">#REF!</definedName>
    <definedName name="_GOTO_EP86__PER" localSheetId="18">#REF!</definedName>
    <definedName name="_GOTO_EP86__PER" localSheetId="19">#REF!</definedName>
    <definedName name="_GOTO_EP86__PER" localSheetId="28">#REF!</definedName>
    <definedName name="_GOTO_EP86__PER" localSheetId="0">#REF!</definedName>
    <definedName name="_GOTO_EP86__PER" localSheetId="2">#REF!</definedName>
    <definedName name="_GOTO_EP86__PER" localSheetId="32">#REF!</definedName>
    <definedName name="_GOTO_EP86__PER" localSheetId="44">#REF!</definedName>
    <definedName name="_GOTO_EP86__PER">#REF!</definedName>
    <definedName name="_GOTO_FO112__RV" localSheetId="26">#REF!</definedName>
    <definedName name="_GOTO_FO112__RV" localSheetId="18">#REF!</definedName>
    <definedName name="_GOTO_FO112__RV" localSheetId="19">#REF!</definedName>
    <definedName name="_GOTO_FO112__RV" localSheetId="28">#REF!</definedName>
    <definedName name="_GOTO_FO112__RV" localSheetId="0">#REF!</definedName>
    <definedName name="_GOTO_FO112__RV" localSheetId="2">#REF!</definedName>
    <definedName name="_GOTO_FO112__RV" localSheetId="32">#REF!</definedName>
    <definedName name="_GOTO_FO112__RV" localSheetId="44">#REF!</definedName>
    <definedName name="_GOTO_FO112__RV">#REF!</definedName>
    <definedName name="_GOTO_FO56__RV_" localSheetId="26">#REF!</definedName>
    <definedName name="_GOTO_FO56__RV_" localSheetId="18">#REF!</definedName>
    <definedName name="_GOTO_FO56__RV_" localSheetId="19">#REF!</definedName>
    <definedName name="_GOTO_FO56__RV_" localSheetId="28">#REF!</definedName>
    <definedName name="_GOTO_FO56__RV_" localSheetId="0">#REF!</definedName>
    <definedName name="_GOTO_FO56__RV_" localSheetId="2">#REF!</definedName>
    <definedName name="_GOTO_FO56__RV_" localSheetId="32">#REF!</definedName>
    <definedName name="_GOTO_FO56__RV_" localSheetId="44">#REF!</definedName>
    <definedName name="_GOTO_FO56__RV_">#REF!</definedName>
    <definedName name="_HOME__GOTO_M14" localSheetId="26">#REF!</definedName>
    <definedName name="_HOME__GOTO_M14" localSheetId="18">#REF!</definedName>
    <definedName name="_HOME__GOTO_M14" localSheetId="19">#REF!</definedName>
    <definedName name="_HOME__GOTO_M14" localSheetId="28">#REF!</definedName>
    <definedName name="_HOME__GOTO_M14" localSheetId="0">#REF!</definedName>
    <definedName name="_HOME__GOTO_M14" localSheetId="2">#REF!</definedName>
    <definedName name="_HOME__GOTO_M14" localSheetId="32">#REF!</definedName>
    <definedName name="_HOME__GOTO_M14" localSheetId="44">#REF!</definedName>
    <definedName name="_HOME__GOTO_M14">#REF!</definedName>
    <definedName name="_Order1" hidden="1">255</definedName>
    <definedName name="_PLF__R__R___ES" localSheetId="3">#REF!</definedName>
    <definedName name="_PLF__R__R___ES" localSheetId="26">#REF!</definedName>
    <definedName name="_PLF__R__R___ES" localSheetId="18">#REF!</definedName>
    <definedName name="_PLF__R__R___ES" localSheetId="19">#REF!</definedName>
    <definedName name="_PLF__R__R___ES" localSheetId="28">#REF!</definedName>
    <definedName name="_PLF__R__R___ES" localSheetId="0">#REF!</definedName>
    <definedName name="_PLF__R__R___ES" localSheetId="2">#REF!</definedName>
    <definedName name="_PLF__R__R___ES" localSheetId="32">#REF!</definedName>
    <definedName name="_PLF__R__R___ES" localSheetId="44">#REF!</definedName>
    <definedName name="_PLF__R__R___ES">#REF!</definedName>
    <definedName name="_RV_DOWN_6__LEF" localSheetId="26">#REF!</definedName>
    <definedName name="_RV_DOWN_6__LEF" localSheetId="18">#REF!</definedName>
    <definedName name="_RV_DOWN_6__LEF" localSheetId="19">#REF!</definedName>
    <definedName name="_RV_DOWN_6__LEF" localSheetId="28">#REF!</definedName>
    <definedName name="_RV_DOWN_6__LEF" localSheetId="0">#REF!</definedName>
    <definedName name="_RV_DOWN_6__LEF" localSheetId="2">#REF!</definedName>
    <definedName name="_RV_DOWN_6__LEF" localSheetId="32">#REF!</definedName>
    <definedName name="_RV_DOWN_6__LEF" localSheetId="44">#REF!</definedName>
    <definedName name="_RV_DOWN_6__LEF">#REF!</definedName>
    <definedName name="_SCH6" localSheetId="26">#REF!</definedName>
    <definedName name="_SCH6" localSheetId="18">#REF!</definedName>
    <definedName name="_SCH6" localSheetId="19">#REF!</definedName>
    <definedName name="_SCH6" localSheetId="28">#REF!</definedName>
    <definedName name="_SCH6" localSheetId="0">#REF!</definedName>
    <definedName name="_SCH6" localSheetId="32">#REF!</definedName>
    <definedName name="_SCH6" localSheetId="44">#REF!</definedName>
    <definedName name="_SCH6">#REF!</definedName>
    <definedName name="_SUM_DI14..DI21" localSheetId="3">#REF!</definedName>
    <definedName name="_SUM_DI14..DI21" localSheetId="26">#REF!</definedName>
    <definedName name="_SUM_DI14..DI21" localSheetId="18">#REF!</definedName>
    <definedName name="_SUM_DI14..DI21" localSheetId="19">#REF!</definedName>
    <definedName name="_SUM_DI14..DI21" localSheetId="28">#REF!</definedName>
    <definedName name="_SUM_DI14..DI21" localSheetId="0">#REF!</definedName>
    <definedName name="_SUM_DI14..DI21" localSheetId="2">#REF!</definedName>
    <definedName name="_SUM_DI14..DI21" localSheetId="32">#REF!</definedName>
    <definedName name="_SUM_DI14..DI21" localSheetId="44">#REF!</definedName>
    <definedName name="_SUM_DI14..DI21">#REF!</definedName>
    <definedName name="_SUM_DI22..DI29" localSheetId="26">#REF!</definedName>
    <definedName name="_SUM_DI22..DI29" localSheetId="18">#REF!</definedName>
    <definedName name="_SUM_DI22..DI29" localSheetId="19">#REF!</definedName>
    <definedName name="_SUM_DI22..DI29" localSheetId="28">#REF!</definedName>
    <definedName name="_SUM_DI22..DI29" localSheetId="0">#REF!</definedName>
    <definedName name="_SUM_DI22..DI29" localSheetId="2">#REF!</definedName>
    <definedName name="_SUM_DI22..DI29" localSheetId="32">#REF!</definedName>
    <definedName name="_SUM_DI22..DI29" localSheetId="44">#REF!</definedName>
    <definedName name="_SUM_DI22..DI29">#REF!</definedName>
    <definedName name="_U__END__U__D__" localSheetId="26">#REF!</definedName>
    <definedName name="_U__END__U__D__" localSheetId="18">#REF!</definedName>
    <definedName name="_U__END__U__D__" localSheetId="19">#REF!</definedName>
    <definedName name="_U__END__U__D__" localSheetId="28">#REF!</definedName>
    <definedName name="_U__END__U__D__" localSheetId="0">#REF!</definedName>
    <definedName name="_U__END__U__D__" localSheetId="2">#REF!</definedName>
    <definedName name="_U__END__U__D__" localSheetId="32">#REF!</definedName>
    <definedName name="_U__END__U__D__" localSheetId="44">#REF!</definedName>
    <definedName name="_U__END__U__D__">#REF!</definedName>
    <definedName name="_U__U__END__U__" localSheetId="26">#REF!</definedName>
    <definedName name="_U__U__END__U__" localSheetId="18">#REF!</definedName>
    <definedName name="_U__U__END__U__" localSheetId="19">#REF!</definedName>
    <definedName name="_U__U__END__U__" localSheetId="28">#REF!</definedName>
    <definedName name="_U__U__END__U__" localSheetId="0">#REF!</definedName>
    <definedName name="_U__U__END__U__" localSheetId="2">#REF!</definedName>
    <definedName name="_U__U__END__U__" localSheetId="32">#REF!</definedName>
    <definedName name="_U__U__END__U__" localSheetId="44">#REF!</definedName>
    <definedName name="_U__U__END__U__">#REF!</definedName>
    <definedName name="_U__U__U__U__U_" localSheetId="26">#REF!</definedName>
    <definedName name="_U__U__U__U__U_" localSheetId="18">#REF!</definedName>
    <definedName name="_U__U__U__U__U_" localSheetId="19">#REF!</definedName>
    <definedName name="_U__U__U__U__U_" localSheetId="28">#REF!</definedName>
    <definedName name="_U__U__U__U__U_" localSheetId="0">#REF!</definedName>
    <definedName name="_U__U__U__U__U_" localSheetId="2">#REF!</definedName>
    <definedName name="_U__U__U__U__U_" localSheetId="32">#REF!</definedName>
    <definedName name="_U__U__U__U__U_" localSheetId="44">#REF!</definedName>
    <definedName name="_U__U__U__U__U_">#REF!</definedName>
    <definedName name="_WGPD_GOTO_CO10" localSheetId="26">#REF!</definedName>
    <definedName name="_WGPD_GOTO_CO10" localSheetId="18">#REF!</definedName>
    <definedName name="_WGPD_GOTO_CO10" localSheetId="19">#REF!</definedName>
    <definedName name="_WGPD_GOTO_CO10" localSheetId="28">#REF!</definedName>
    <definedName name="_WGPD_GOTO_CO10" localSheetId="0">#REF!</definedName>
    <definedName name="_WGPD_GOTO_CO10" localSheetId="2">#REF!</definedName>
    <definedName name="_WGPD_GOTO_CO10" localSheetId="32">#REF!</definedName>
    <definedName name="_WGPD_GOTO_CO10" localSheetId="44">#REF!</definedName>
    <definedName name="_WGPD_GOTO_CO10">#REF!</definedName>
    <definedName name="A" localSheetId="26">#REF!</definedName>
    <definedName name="A" localSheetId="18">#REF!</definedName>
    <definedName name="A" localSheetId="19">#REF!</definedName>
    <definedName name="A" localSheetId="28">#REF!</definedName>
    <definedName name="A" localSheetId="0">#REF!</definedName>
    <definedName name="A" localSheetId="2">#REF!</definedName>
    <definedName name="A" localSheetId="32">#REF!</definedName>
    <definedName name="A" localSheetId="44">#REF!</definedName>
    <definedName name="A">#REF!</definedName>
    <definedName name="achscs" localSheetId="26">#REF!</definedName>
    <definedName name="achscs" localSheetId="28">#REF!</definedName>
    <definedName name="achscs" localSheetId="0">#REF!</definedName>
    <definedName name="achscs" localSheetId="2">#REF!</definedName>
    <definedName name="achscs" localSheetId="32">#REF!</definedName>
    <definedName name="achscs" localSheetId="44">#REF!</definedName>
    <definedName name="achscs">#REF!</definedName>
    <definedName name="ADL.63" localSheetId="28">#REF!</definedName>
    <definedName name="ADL.63" localSheetId="44">#REF!</definedName>
    <definedName name="ADL.63">#REF!</definedName>
    <definedName name="afasfasf" localSheetId="26">#REF!</definedName>
    <definedName name="afasfasf" localSheetId="28">#REF!</definedName>
    <definedName name="afasfasf" localSheetId="0">#REF!</definedName>
    <definedName name="afasfasf" localSheetId="2">#REF!</definedName>
    <definedName name="afasfasf" localSheetId="32">#REF!</definedName>
    <definedName name="afasfasf" localSheetId="44">#REF!</definedName>
    <definedName name="afasfasf">#REF!</definedName>
    <definedName name="ahjsdhjkdh" localSheetId="26">#REF!</definedName>
    <definedName name="ahjsdhjkdh" localSheetId="28">#REF!</definedName>
    <definedName name="ahjsdhjkdh" localSheetId="0">#REF!</definedName>
    <definedName name="ahjsdhjkdh" localSheetId="2">#REF!</definedName>
    <definedName name="ahjsdhjkdh" localSheetId="32">#REF!</definedName>
    <definedName name="ahjsdhjkdh" localSheetId="44">#REF!</definedName>
    <definedName name="ahjsdhjkdh">#REF!</definedName>
    <definedName name="asaaa" localSheetId="26">#REF!</definedName>
    <definedName name="asaaa" localSheetId="28">#REF!</definedName>
    <definedName name="asaaa" localSheetId="0">#REF!</definedName>
    <definedName name="asaaa" localSheetId="2">#REF!</definedName>
    <definedName name="asaaa" localSheetId="32">#REF!</definedName>
    <definedName name="asaaa" localSheetId="44">#REF!</definedName>
    <definedName name="asaaa">#REF!</definedName>
    <definedName name="atyfafa" localSheetId="26">#REF!</definedName>
    <definedName name="atyfafa" localSheetId="28">#REF!</definedName>
    <definedName name="atyfafa" localSheetId="0">#REF!</definedName>
    <definedName name="atyfafa" localSheetId="2">#REF!</definedName>
    <definedName name="atyfafa" localSheetId="32">#REF!</definedName>
    <definedName name="atyfafa" localSheetId="44">#REF!</definedName>
    <definedName name="atyfafa">#REF!</definedName>
    <definedName name="AuBhu0910" localSheetId="3">#REF!</definedName>
    <definedName name="AuBhu0910" localSheetId="26">#REF!</definedName>
    <definedName name="AuBhu0910" localSheetId="28">#REF!</definedName>
    <definedName name="AuBhu0910" localSheetId="0">#REF!</definedName>
    <definedName name="AuBhu0910" localSheetId="2">#REF!</definedName>
    <definedName name="AuBhu0910" localSheetId="32">#REF!</definedName>
    <definedName name="AuBhu0910" localSheetId="44">#REF!</definedName>
    <definedName name="AuBhu0910">#REF!</definedName>
    <definedName name="AuBhu1011" localSheetId="3">#REF!</definedName>
    <definedName name="AuBhu1011" localSheetId="26">#REF!</definedName>
    <definedName name="AuBhu1011" localSheetId="28">#REF!</definedName>
    <definedName name="AuBhu1011" localSheetId="0">#REF!</definedName>
    <definedName name="AuBhu1011" localSheetId="2">#REF!</definedName>
    <definedName name="AuBhu1011" localSheetId="32">#REF!</definedName>
    <definedName name="AuBhu1011" localSheetId="44">#REF!</definedName>
    <definedName name="AuBhu1011">#REF!</definedName>
    <definedName name="AuCha0910" localSheetId="3">#REF!</definedName>
    <definedName name="AuCha0910" localSheetId="26">#REF!</definedName>
    <definedName name="AuCha0910" localSheetId="28">#REF!</definedName>
    <definedName name="AuCha0910" localSheetId="0">#REF!</definedName>
    <definedName name="AuCha0910" localSheetId="2">#REF!</definedName>
    <definedName name="AuCha0910" localSheetId="32">#REF!</definedName>
    <definedName name="AuCha0910" localSheetId="44">#REF!</definedName>
    <definedName name="AuCha0910">#REF!</definedName>
    <definedName name="AV" localSheetId="3">#REF!</definedName>
    <definedName name="AV" localSheetId="26">#REF!</definedName>
    <definedName name="AV" localSheetId="18">#REF!</definedName>
    <definedName name="AV" localSheetId="19">#REF!</definedName>
    <definedName name="AV" localSheetId="28">#REF!</definedName>
    <definedName name="AV" localSheetId="0">#REF!</definedName>
    <definedName name="AV" localSheetId="2">#REF!</definedName>
    <definedName name="AV" localSheetId="32">#REF!</definedName>
    <definedName name="AV" localSheetId="44">#REF!</definedName>
    <definedName name="AV">#REF!</definedName>
    <definedName name="bgbgb" localSheetId="26">#REF!,#REF!</definedName>
    <definedName name="bgbgb" localSheetId="0">#REF!,#REF!</definedName>
    <definedName name="bgbgb" localSheetId="2">#REF!,#REF!</definedName>
    <definedName name="bgbgb" localSheetId="32">#REF!,#REF!</definedName>
    <definedName name="bgbgb" localSheetId="44">#REF!,#REF!</definedName>
    <definedName name="bgbgb">#REF!,#REF!</definedName>
    <definedName name="C_Data_1" localSheetId="3">#REF!</definedName>
    <definedName name="C_Data_1" localSheetId="26">#REF!</definedName>
    <definedName name="C_Data_1" localSheetId="18">#REF!</definedName>
    <definedName name="C_Data_1" localSheetId="19">#REF!</definedName>
    <definedName name="C_Data_1" localSheetId="28">#REF!</definedName>
    <definedName name="C_Data_1" localSheetId="0">#REF!</definedName>
    <definedName name="C_Data_1" localSheetId="2">#REF!</definedName>
    <definedName name="C_Data_1" localSheetId="32">#REF!</definedName>
    <definedName name="C_Data_1" localSheetId="44">#REF!</definedName>
    <definedName name="C_Data_1">#REF!</definedName>
    <definedName name="C_Data_2" localSheetId="26">#REF!</definedName>
    <definedName name="C_Data_2" localSheetId="18">#REF!</definedName>
    <definedName name="C_Data_2" localSheetId="19">#REF!</definedName>
    <definedName name="C_Data_2" localSheetId="28">#REF!</definedName>
    <definedName name="C_Data_2" localSheetId="0">#REF!</definedName>
    <definedName name="C_Data_2" localSheetId="2">#REF!</definedName>
    <definedName name="C_Data_2" localSheetId="32">#REF!</definedName>
    <definedName name="C_Data_2" localSheetId="44">#REF!</definedName>
    <definedName name="C_Data_2">#REF!</definedName>
    <definedName name="CM10_C_RIGHT___" localSheetId="3">#REF!</definedName>
    <definedName name="CM10_C_RIGHT___" localSheetId="26">#REF!</definedName>
    <definedName name="CM10_C_RIGHT___" localSheetId="18">#REF!</definedName>
    <definedName name="CM10_C_RIGHT___" localSheetId="19">#REF!</definedName>
    <definedName name="CM10_C_RIGHT___" localSheetId="28">#REF!</definedName>
    <definedName name="CM10_C_RIGHT___" localSheetId="0">#REF!</definedName>
    <definedName name="CM10_C_RIGHT___" localSheetId="2">#REF!</definedName>
    <definedName name="CM10_C_RIGHT___" localSheetId="32">#REF!</definedName>
    <definedName name="CM10_C_RIGHT___" localSheetId="44">#REF!</definedName>
    <definedName name="CM10_C_RIGHT___">#REF!</definedName>
    <definedName name="CV" localSheetId="26">#REF!</definedName>
    <definedName name="CV" localSheetId="18">#REF!</definedName>
    <definedName name="CV" localSheetId="19">#REF!</definedName>
    <definedName name="CV" localSheetId="28">#REF!</definedName>
    <definedName name="CV" localSheetId="0">#REF!</definedName>
    <definedName name="CV" localSheetId="2">#REF!</definedName>
    <definedName name="CV" localSheetId="32">#REF!</definedName>
    <definedName name="CV" localSheetId="44">#REF!</definedName>
    <definedName name="CV">#REF!</definedName>
    <definedName name="D" localSheetId="28">#REF!</definedName>
    <definedName name="D">#N/A</definedName>
    <definedName name="dadfsdf" localSheetId="26">#REF!</definedName>
    <definedName name="dadfsdf" localSheetId="28">#REF!</definedName>
    <definedName name="dadfsdf" localSheetId="0">#REF!</definedName>
    <definedName name="dadfsdf" localSheetId="2">#REF!</definedName>
    <definedName name="dadfsdf" localSheetId="32">#REF!</definedName>
    <definedName name="dadfsdf" localSheetId="44">#REF!</definedName>
    <definedName name="dadfsdf">#REF!</definedName>
    <definedName name="dafsff" localSheetId="26">#REF!</definedName>
    <definedName name="dafsff" localSheetId="28">#REF!</definedName>
    <definedName name="dafsff" localSheetId="0">#REF!</definedName>
    <definedName name="dafsff" localSheetId="2">#REF!</definedName>
    <definedName name="dafsff" localSheetId="32">#REF!</definedName>
    <definedName name="dafsff" localSheetId="44">#REF!</definedName>
    <definedName name="dafsff">#REF!</definedName>
    <definedName name="dargad" localSheetId="26">#REF!,#REF!</definedName>
    <definedName name="dargad" localSheetId="0">#REF!,#REF!</definedName>
    <definedName name="dargad" localSheetId="2">#REF!,#REF!</definedName>
    <definedName name="dargad" localSheetId="32">#REF!,#REF!</definedName>
    <definedName name="dargad" localSheetId="44">#REF!,#REF!</definedName>
    <definedName name="dargad">#REF!,#REF!</definedName>
    <definedName name="ddd" localSheetId="26">#REF!</definedName>
    <definedName name="ddd" localSheetId="0">#REF!</definedName>
    <definedName name="ddd" localSheetId="2">#REF!</definedName>
    <definedName name="ddd" localSheetId="32">#REF!</definedName>
    <definedName name="ddd" localSheetId="44">#REF!</definedName>
    <definedName name="ddd">#REF!</definedName>
    <definedName name="Debt_Pct" localSheetId="28">#REF!</definedName>
    <definedName name="Debt_Pct" localSheetId="44">#REF!</definedName>
    <definedName name="Debt_Pct">#REF!</definedName>
    <definedName name="dgxgfzdg" localSheetId="26">#REF!,#REF!</definedName>
    <definedName name="dgxgfzdg" localSheetId="0">#REF!,#REF!</definedName>
    <definedName name="dgxgfzdg" localSheetId="2">#REF!,#REF!</definedName>
    <definedName name="dgxgfzdg" localSheetId="32">#REF!,#REF!</definedName>
    <definedName name="dgxgfzdg" localSheetId="44">#REF!,#REF!</definedName>
    <definedName name="dgxgfzdg">#REF!,#REF!</definedName>
    <definedName name="dpc" localSheetId="28">#REF!</definedName>
    <definedName name="dpc" localSheetId="44">#REF!</definedName>
    <definedName name="dpc">#REF!</definedName>
    <definedName name="dsfdfADF" localSheetId="26">#REF!</definedName>
    <definedName name="dsfdfADF" localSheetId="28">#REF!</definedName>
    <definedName name="dsfdfADF" localSheetId="0">#REF!</definedName>
    <definedName name="dsfdfADF" localSheetId="2">#REF!</definedName>
    <definedName name="dsfdfADF" localSheetId="32">#REF!</definedName>
    <definedName name="dsfdfADF" localSheetId="44">#REF!</definedName>
    <definedName name="dsfdfADF">#REF!</definedName>
    <definedName name="dxzxxx" localSheetId="26">#REF!,#REF!</definedName>
    <definedName name="dxzxxx" localSheetId="0">#REF!,#REF!</definedName>
    <definedName name="dxzxxx" localSheetId="2">#REF!,#REF!</definedName>
    <definedName name="dxzxxx" localSheetId="32">#REF!,#REF!</definedName>
    <definedName name="dxzxxx" localSheetId="44">#REF!,#REF!</definedName>
    <definedName name="dxzxxx">#REF!,#REF!</definedName>
    <definedName name="E_315MVA_Addl_Page1" localSheetId="3">#REF!</definedName>
    <definedName name="E_315MVA_Addl_Page1" localSheetId="26">#REF!</definedName>
    <definedName name="E_315MVA_Addl_Page1" localSheetId="18">#REF!</definedName>
    <definedName name="E_315MVA_Addl_Page1" localSheetId="19">#REF!</definedName>
    <definedName name="E_315MVA_Addl_Page1" localSheetId="28">#REF!</definedName>
    <definedName name="E_315MVA_Addl_Page1" localSheetId="0">#REF!</definedName>
    <definedName name="E_315MVA_Addl_Page1" localSheetId="2">#REF!</definedName>
    <definedName name="E_315MVA_Addl_Page1" localSheetId="32">#REF!</definedName>
    <definedName name="E_315MVA_Addl_Page1" localSheetId="44">#REF!</definedName>
    <definedName name="E_315MVA_Addl_Page1">#REF!</definedName>
    <definedName name="E_315MVA_Addl_Page2" localSheetId="26">#REF!</definedName>
    <definedName name="E_315MVA_Addl_Page2" localSheetId="18">#REF!</definedName>
    <definedName name="E_315MVA_Addl_Page2" localSheetId="19">#REF!</definedName>
    <definedName name="E_315MVA_Addl_Page2" localSheetId="28">#REF!</definedName>
    <definedName name="E_315MVA_Addl_Page2" localSheetId="0">#REF!</definedName>
    <definedName name="E_315MVA_Addl_Page2" localSheetId="2">#REF!</definedName>
    <definedName name="E_315MVA_Addl_Page2" localSheetId="32">#REF!</definedName>
    <definedName name="E_315MVA_Addl_Page2" localSheetId="44">#REF!</definedName>
    <definedName name="E_315MVA_Addl_Page2">#REF!</definedName>
    <definedName name="egtdgtgxdg" localSheetId="26">#REF!</definedName>
    <definedName name="egtdgtgxdg" localSheetId="28">#REF!</definedName>
    <definedName name="egtdgtgxdg" localSheetId="0">#REF!</definedName>
    <definedName name="egtdgtgxdg" localSheetId="2">#REF!</definedName>
    <definedName name="egtdgtgxdg" localSheetId="32">#REF!</definedName>
    <definedName name="egtdgtgxdg" localSheetId="44">#REF!</definedName>
    <definedName name="egtdgtgxdg">#REF!</definedName>
    <definedName name="Erai_level" localSheetId="28">#REF!</definedName>
    <definedName name="Erai_level" localSheetId="44">#REF!</definedName>
    <definedName name="Erai_level">#REF!</definedName>
    <definedName name="Esc_AGExp" localSheetId="28">#REF!</definedName>
    <definedName name="Esc_AGExp" localSheetId="44">#REF!</definedName>
    <definedName name="Esc_AGExp">#REF!</definedName>
    <definedName name="Esc_Coal" localSheetId="28">#REF!</definedName>
    <definedName name="Esc_Coal" localSheetId="44">#REF!</definedName>
    <definedName name="Esc_Coal">#REF!</definedName>
    <definedName name="Esc_DomGas" localSheetId="28">#REF!</definedName>
    <definedName name="Esc_DomGas" localSheetId="44">#REF!</definedName>
    <definedName name="Esc_DomGas">#REF!</definedName>
    <definedName name="Esc_EmpExp" localSheetId="28">#REF!</definedName>
    <definedName name="Esc_EmpExp" localSheetId="44">#REF!</definedName>
    <definedName name="Esc_EmpExp">#REF!</definedName>
    <definedName name="Esc_LNGas" localSheetId="28">#REF!</definedName>
    <definedName name="Esc_LNGas" localSheetId="44">#REF!</definedName>
    <definedName name="Esc_LNGas">#REF!</definedName>
    <definedName name="Esc_Oil" localSheetId="28">#REF!</definedName>
    <definedName name="Esc_Oil" localSheetId="44">#REF!</definedName>
    <definedName name="Esc_Oil">#REF!</definedName>
    <definedName name="Esc_OtherVarCharge" localSheetId="28">#REF!</definedName>
    <definedName name="Esc_OtherVarCharge" localSheetId="44">#REF!</definedName>
    <definedName name="Esc_OtherVarCharge">#REF!</definedName>
    <definedName name="Esc_RMExp" localSheetId="28">#REF!</definedName>
    <definedName name="Esc_RMExp" localSheetId="44">#REF!</definedName>
    <definedName name="Esc_RMExp">#REF!</definedName>
    <definedName name="EscAGExp" localSheetId="3">#REF!</definedName>
    <definedName name="EscAGExp" localSheetId="26">#REF!</definedName>
    <definedName name="EscAGExp" localSheetId="18">#REF!</definedName>
    <definedName name="EscAGExp" localSheetId="19">#REF!</definedName>
    <definedName name="EscAGExp" localSheetId="28">#REF!</definedName>
    <definedName name="EscAGExp" localSheetId="0">#REF!</definedName>
    <definedName name="EscAGExp" localSheetId="2">#REF!</definedName>
    <definedName name="EscAGExp" localSheetId="32">#REF!</definedName>
    <definedName name="EscAGExp" localSheetId="44">#REF!</definedName>
    <definedName name="EscAGExp">#REF!</definedName>
    <definedName name="EscCoal" localSheetId="26">#REF!</definedName>
    <definedName name="EscCoal" localSheetId="18">#REF!</definedName>
    <definedName name="EscCoal" localSheetId="19">#REF!</definedName>
    <definedName name="EscCoal" localSheetId="28">#REF!</definedName>
    <definedName name="EscCoal" localSheetId="0">#REF!</definedName>
    <definedName name="EscCoal" localSheetId="2">#REF!</definedName>
    <definedName name="EscCoal" localSheetId="32">#REF!</definedName>
    <definedName name="EscCoal" localSheetId="44">#REF!</definedName>
    <definedName name="EscCoal">#REF!</definedName>
    <definedName name="EscDomGas" localSheetId="26">#REF!</definedName>
    <definedName name="EscDomGas" localSheetId="18">#REF!</definedName>
    <definedName name="EscDomGas" localSheetId="19">#REF!</definedName>
    <definedName name="EscDomGas" localSheetId="28">#REF!</definedName>
    <definedName name="EscDomGas" localSheetId="0">#REF!</definedName>
    <definedName name="EscDomGas" localSheetId="2">#REF!</definedName>
    <definedName name="EscDomGas" localSheetId="32">#REF!</definedName>
    <definedName name="EscDomGas" localSheetId="44">#REF!</definedName>
    <definedName name="EscDomGas">#REF!</definedName>
    <definedName name="EscEmpExp" localSheetId="26">#REF!</definedName>
    <definedName name="EscEmpExp" localSheetId="18">#REF!</definedName>
    <definedName name="EscEmpExp" localSheetId="19">#REF!</definedName>
    <definedName name="EscEmpExp" localSheetId="28">#REF!</definedName>
    <definedName name="EscEmpExp" localSheetId="0">#REF!</definedName>
    <definedName name="EscEmpExp" localSheetId="2">#REF!</definedName>
    <definedName name="EscEmpExp" localSheetId="32">#REF!</definedName>
    <definedName name="EscEmpExp" localSheetId="44">#REF!</definedName>
    <definedName name="EscEmpExp">#REF!</definedName>
    <definedName name="EscLNGas" localSheetId="26">#REF!</definedName>
    <definedName name="EscLNGas" localSheetId="18">#REF!</definedName>
    <definedName name="EscLNGas" localSheetId="19">#REF!</definedName>
    <definedName name="EscLNGas" localSheetId="28">#REF!</definedName>
    <definedName name="EscLNGas" localSheetId="0">#REF!</definedName>
    <definedName name="EscLNGas" localSheetId="2">#REF!</definedName>
    <definedName name="EscLNGas" localSheetId="32">#REF!</definedName>
    <definedName name="EscLNGas" localSheetId="44">#REF!</definedName>
    <definedName name="EscLNGas">#REF!</definedName>
    <definedName name="EscOil" localSheetId="26">#REF!</definedName>
    <definedName name="EscOil" localSheetId="18">#REF!</definedName>
    <definedName name="EscOil" localSheetId="19">#REF!</definedName>
    <definedName name="EscOil" localSheetId="28">#REF!</definedName>
    <definedName name="EscOil" localSheetId="0">#REF!</definedName>
    <definedName name="EscOil" localSheetId="2">#REF!</definedName>
    <definedName name="EscOil" localSheetId="32">#REF!</definedName>
    <definedName name="EscOil" localSheetId="44">#REF!</definedName>
    <definedName name="EscOil">#REF!</definedName>
    <definedName name="EscOtherIncome" localSheetId="26">#REF!</definedName>
    <definedName name="EscOtherIncome" localSheetId="18">#REF!</definedName>
    <definedName name="EscOtherIncome" localSheetId="19">#REF!</definedName>
    <definedName name="EscOtherIncome" localSheetId="28">#REF!</definedName>
    <definedName name="EscOtherIncome" localSheetId="0">#REF!</definedName>
    <definedName name="EscOtherIncome" localSheetId="2">#REF!</definedName>
    <definedName name="EscOtherIncome" localSheetId="32">#REF!</definedName>
    <definedName name="EscOtherIncome" localSheetId="44">#REF!</definedName>
    <definedName name="EscOtherIncome">#REF!</definedName>
    <definedName name="EscOtherVarCharge" localSheetId="26">#REF!</definedName>
    <definedName name="EscOtherVarCharge" localSheetId="18">#REF!</definedName>
    <definedName name="EscOtherVarCharge" localSheetId="19">#REF!</definedName>
    <definedName name="EscOtherVarCharge" localSheetId="28">#REF!</definedName>
    <definedName name="EscOtherVarCharge" localSheetId="0">#REF!</definedName>
    <definedName name="EscOtherVarCharge" localSheetId="2">#REF!</definedName>
    <definedName name="EscOtherVarCharge" localSheetId="32">#REF!</definedName>
    <definedName name="EscOtherVarCharge" localSheetId="44">#REF!</definedName>
    <definedName name="EscOtherVarCharge">#REF!</definedName>
    <definedName name="EscRMExp" localSheetId="26">#REF!</definedName>
    <definedName name="EscRMExp" localSheetId="18">#REF!</definedName>
    <definedName name="EscRMExp" localSheetId="19">#REF!</definedName>
    <definedName name="EscRMExp" localSheetId="28">#REF!</definedName>
    <definedName name="EscRMExp" localSheetId="0">#REF!</definedName>
    <definedName name="EscRMExp" localSheetId="2">#REF!</definedName>
    <definedName name="EscRMExp" localSheetId="32">#REF!</definedName>
    <definedName name="EscRMExp" localSheetId="44">#REF!</definedName>
    <definedName name="EscRMExp">#REF!</definedName>
    <definedName name="FAX" localSheetId="26">#REF!</definedName>
    <definedName name="FAX" localSheetId="18">#REF!</definedName>
    <definedName name="FAX" localSheetId="19">#REF!</definedName>
    <definedName name="FAX" localSheetId="28">#REF!</definedName>
    <definedName name="FAX" localSheetId="0">#REF!</definedName>
    <definedName name="FAX" localSheetId="2">#REF!</definedName>
    <definedName name="FAX" localSheetId="32">#REF!</definedName>
    <definedName name="FAX" localSheetId="44">#REF!</definedName>
    <definedName name="FAX">#REF!</definedName>
    <definedName name="fdxfds" localSheetId="26">#REF!</definedName>
    <definedName name="fdxfds" localSheetId="28">#REF!</definedName>
    <definedName name="fdxfds" localSheetId="0">#REF!</definedName>
    <definedName name="fdxfds" localSheetId="2">#REF!</definedName>
    <definedName name="fdxfds" localSheetId="32">#REF!</definedName>
    <definedName name="fdxfds" localSheetId="44">#REF!</definedName>
    <definedName name="fdxfds">#REF!</definedName>
    <definedName name="fgdgchjgd" localSheetId="26">#REF!</definedName>
    <definedName name="fgdgchjgd" localSheetId="28">#REF!</definedName>
    <definedName name="fgdgchjgd" localSheetId="0">#REF!</definedName>
    <definedName name="fgdgchjgd" localSheetId="2">#REF!</definedName>
    <definedName name="fgdgchjgd" localSheetId="32">#REF!</definedName>
    <definedName name="fgdgchjgd" localSheetId="44">#REF!</definedName>
    <definedName name="fgdgchjgd">#REF!</definedName>
    <definedName name="FinCharge" localSheetId="28">#REF!</definedName>
    <definedName name="FinCharge" localSheetId="44">#REF!</definedName>
    <definedName name="FinCharge">#REF!</definedName>
    <definedName name="fssdzfzsdffzsdf" localSheetId="26">#REF!</definedName>
    <definedName name="fssdzfzsdffzsdf" localSheetId="28">#REF!</definedName>
    <definedName name="fssdzfzsdffzsdf" localSheetId="0">#REF!</definedName>
    <definedName name="fssdzfzsdffzsdf" localSheetId="2">#REF!</definedName>
    <definedName name="fssdzfzsdffzsdf" localSheetId="32">#REF!</definedName>
    <definedName name="fssdzfzsdffzsdf" localSheetId="44">#REF!</definedName>
    <definedName name="fssdzfzsdffzsdf">#REF!</definedName>
    <definedName name="Fuel_Exp_CY" localSheetId="3">#REF!</definedName>
    <definedName name="Fuel_Exp_CY" localSheetId="26">#REF!</definedName>
    <definedName name="Fuel_Exp_CY" localSheetId="18">#REF!</definedName>
    <definedName name="Fuel_Exp_CY" localSheetId="19">#REF!</definedName>
    <definedName name="Fuel_Exp_CY" localSheetId="28">#REF!</definedName>
    <definedName name="Fuel_Exp_CY" localSheetId="0">#REF!</definedName>
    <definedName name="Fuel_Exp_CY" localSheetId="2">#REF!</definedName>
    <definedName name="Fuel_Exp_CY" localSheetId="32">#REF!</definedName>
    <definedName name="Fuel_Exp_CY" localSheetId="44">#REF!</definedName>
    <definedName name="Fuel_Exp_CY">#REF!</definedName>
    <definedName name="Fuel_Exp_EY" localSheetId="26">#REF!</definedName>
    <definedName name="Fuel_Exp_EY" localSheetId="18">#REF!</definedName>
    <definedName name="Fuel_Exp_EY" localSheetId="19">#REF!</definedName>
    <definedName name="Fuel_Exp_EY" localSheetId="28">#REF!</definedName>
    <definedName name="Fuel_Exp_EY" localSheetId="0">#REF!</definedName>
    <definedName name="Fuel_Exp_EY" localSheetId="2">#REF!</definedName>
    <definedName name="Fuel_Exp_EY" localSheetId="32">#REF!</definedName>
    <definedName name="Fuel_Exp_EY" localSheetId="44">#REF!</definedName>
    <definedName name="Fuel_Exp_EY">#REF!</definedName>
    <definedName name="Fuel_Exp_PY" localSheetId="26">#REF!</definedName>
    <definedName name="Fuel_Exp_PY" localSheetId="18">#REF!</definedName>
    <definedName name="Fuel_Exp_PY" localSheetId="19">#REF!</definedName>
    <definedName name="Fuel_Exp_PY" localSheetId="28">#REF!</definedName>
    <definedName name="Fuel_Exp_PY" localSheetId="0">#REF!</definedName>
    <definedName name="Fuel_Exp_PY" localSheetId="2">#REF!</definedName>
    <definedName name="Fuel_Exp_PY" localSheetId="32">#REF!</definedName>
    <definedName name="Fuel_Exp_PY" localSheetId="44">#REF!</definedName>
    <definedName name="Fuel_Exp_PY">#REF!</definedName>
    <definedName name="fy" localSheetId="26">#REF!</definedName>
    <definedName name="fy" localSheetId="28">#REF!</definedName>
    <definedName name="fy" localSheetId="0">#REF!</definedName>
    <definedName name="fy" localSheetId="2">#REF!</definedName>
    <definedName name="fy" localSheetId="32">#REF!</definedName>
    <definedName name="fy" localSheetId="44">#REF!</definedName>
    <definedName name="fy">#REF!</definedName>
    <definedName name="gaga" localSheetId="26">#REF!</definedName>
    <definedName name="gaga" localSheetId="28">#REF!</definedName>
    <definedName name="gaga" localSheetId="0">#REF!</definedName>
    <definedName name="gaga" localSheetId="2">#REF!</definedName>
    <definedName name="gaga" localSheetId="32">#REF!</definedName>
    <definedName name="gaga" localSheetId="44">#REF!</definedName>
    <definedName name="gaga">#REF!</definedName>
    <definedName name="gahZh" localSheetId="26">#REF!</definedName>
    <definedName name="gahZh" localSheetId="28">#REF!</definedName>
    <definedName name="gahZh" localSheetId="0">#REF!</definedName>
    <definedName name="gahZh" localSheetId="2">#REF!</definedName>
    <definedName name="gahZh" localSheetId="32">#REF!</definedName>
    <definedName name="gahZh" localSheetId="44">#REF!</definedName>
    <definedName name="gahZh">#REF!</definedName>
    <definedName name="gajkahuah" localSheetId="26">#REF!</definedName>
    <definedName name="gajkahuah" localSheetId="28">#REF!</definedName>
    <definedName name="gajkahuah" localSheetId="0">#REF!</definedName>
    <definedName name="gajkahuah" localSheetId="2">#REF!</definedName>
    <definedName name="gajkahuah" localSheetId="32">#REF!</definedName>
    <definedName name="gajkahuah" localSheetId="44">#REF!</definedName>
    <definedName name="gajkahuah">#REF!</definedName>
    <definedName name="gasgdskhdu" localSheetId="26">#REF!,#REF!</definedName>
    <definedName name="gasgdskhdu" localSheetId="0">#REF!,#REF!</definedName>
    <definedName name="gasgdskhdu" localSheetId="2">#REF!,#REF!</definedName>
    <definedName name="gasgdskhdu" localSheetId="32">#REF!,#REF!</definedName>
    <definedName name="gasgdskhdu" localSheetId="44">#REF!,#REF!</definedName>
    <definedName name="gasgdskhdu">#REF!,#REF!</definedName>
    <definedName name="gdgfg" localSheetId="26">#REF!,#REF!</definedName>
    <definedName name="gdgfg" localSheetId="0">#REF!,#REF!</definedName>
    <definedName name="gdgfg" localSheetId="2">#REF!,#REF!</definedName>
    <definedName name="gdgfg" localSheetId="32">#REF!,#REF!</definedName>
    <definedName name="gdgfg" localSheetId="44">#REF!,#REF!</definedName>
    <definedName name="gdgfg">#REF!,#REF!</definedName>
    <definedName name="ghhfh" localSheetId="26">#REF!</definedName>
    <definedName name="ghhfh" localSheetId="28">#REF!</definedName>
    <definedName name="ghhfh" localSheetId="0">#REF!</definedName>
    <definedName name="ghhfh" localSheetId="2">#REF!</definedName>
    <definedName name="ghhfh" localSheetId="32">#REF!</definedName>
    <definedName name="ghhfh" localSheetId="44">#REF!</definedName>
    <definedName name="ghhfh">#REF!</definedName>
    <definedName name="GR" localSheetId="26">#REF!</definedName>
    <definedName name="GR" localSheetId="18">#REF!</definedName>
    <definedName name="GR" localSheetId="19">#REF!</definedName>
    <definedName name="GR" localSheetId="28">#REF!</definedName>
    <definedName name="GR" localSheetId="0">#REF!</definedName>
    <definedName name="GR" localSheetId="2">#REF!</definedName>
    <definedName name="GR" localSheetId="32">#REF!</definedName>
    <definedName name="GR" localSheetId="44">#REF!</definedName>
    <definedName name="GR">#REF!</definedName>
    <definedName name="gshjgshgs" localSheetId="26">#REF!</definedName>
    <definedName name="gshjgshgs" localSheetId="28">#REF!</definedName>
    <definedName name="gshjgshgs" localSheetId="0">#REF!</definedName>
    <definedName name="gshjgshgs" localSheetId="2">#REF!</definedName>
    <definedName name="gshjgshgs" localSheetId="32">#REF!</definedName>
    <definedName name="gshjgshgs" localSheetId="44">#REF!</definedName>
    <definedName name="gshjgshgs">#REF!</definedName>
    <definedName name="gydgdg" localSheetId="26">#REF!,#REF!</definedName>
    <definedName name="gydgdg" localSheetId="0">#REF!,#REF!</definedName>
    <definedName name="gydgdg" localSheetId="2">#REF!,#REF!</definedName>
    <definedName name="gydgdg" localSheetId="32">#REF!,#REF!</definedName>
    <definedName name="gydgdg" localSheetId="44">#REF!,#REF!</definedName>
    <definedName name="gydgdg">#REF!,#REF!</definedName>
    <definedName name="h" localSheetId="26">#REF!</definedName>
    <definedName name="h" localSheetId="0">#REF!</definedName>
    <definedName name="h" localSheetId="2">#REF!</definedName>
    <definedName name="h" localSheetId="32">#REF!</definedName>
    <definedName name="h" localSheetId="44">#REF!</definedName>
    <definedName name="h">#REF!</definedName>
    <definedName name="hahshuis" localSheetId="26">#REF!</definedName>
    <definedName name="hahshuis" localSheetId="28">#REF!</definedName>
    <definedName name="hahshuis" localSheetId="0">#REF!</definedName>
    <definedName name="hahshuis" localSheetId="2">#REF!</definedName>
    <definedName name="hahshuis" localSheetId="32">#REF!</definedName>
    <definedName name="hahshuis" localSheetId="44">#REF!</definedName>
    <definedName name="hahshuis">#REF!</definedName>
    <definedName name="hasnain" localSheetId="26">#REF!</definedName>
    <definedName name="hasnain" localSheetId="28">#REF!</definedName>
    <definedName name="hasnain" localSheetId="0">#REF!</definedName>
    <definedName name="hasnain" localSheetId="2">#REF!</definedName>
    <definedName name="hasnain" localSheetId="32">#REF!</definedName>
    <definedName name="hasnain" localSheetId="44">#REF!</definedName>
    <definedName name="hasnain">#REF!</definedName>
    <definedName name="hdhdjh" localSheetId="26">#REF!</definedName>
    <definedName name="hdhdjh" localSheetId="28">#REF!</definedName>
    <definedName name="hdhdjh" localSheetId="0">#REF!</definedName>
    <definedName name="hdhdjh" localSheetId="2">#REF!</definedName>
    <definedName name="hdhdjh" localSheetId="32">#REF!</definedName>
    <definedName name="hdhdjh" localSheetId="44">#REF!</definedName>
    <definedName name="hdhdjh">#REF!</definedName>
    <definedName name="hgtfhdh" localSheetId="26">#REF!</definedName>
    <definedName name="hgtfhdh" localSheetId="0">#REF!</definedName>
    <definedName name="hgtfhdh" localSheetId="2">#REF!</definedName>
    <definedName name="hgtfhdh" localSheetId="32">#REF!</definedName>
    <definedName name="hgtfhdh" localSheetId="44">#REF!</definedName>
    <definedName name="hgtfhdh">#REF!</definedName>
    <definedName name="hhhuh" localSheetId="26">#REF!</definedName>
    <definedName name="hhhuh" localSheetId="28">#REF!</definedName>
    <definedName name="hhhuh" localSheetId="0">#REF!</definedName>
    <definedName name="hhhuh" localSheetId="2">#REF!</definedName>
    <definedName name="hhhuh" localSheetId="32">#REF!</definedName>
    <definedName name="hhhuh" localSheetId="44">#REF!</definedName>
    <definedName name="hhhuh">#REF!</definedName>
    <definedName name="hHzhzh" localSheetId="26">#REF!</definedName>
    <definedName name="hHzhzh" localSheetId="28">#REF!</definedName>
    <definedName name="hHzhzh" localSheetId="0">#REF!</definedName>
    <definedName name="hHzhzh" localSheetId="2">#REF!</definedName>
    <definedName name="hHzhzh" localSheetId="32">#REF!</definedName>
    <definedName name="hHzhzh" localSheetId="44">#REF!</definedName>
    <definedName name="hHzhzh">#REF!</definedName>
    <definedName name="hshhxuhxu" localSheetId="26">#REF!</definedName>
    <definedName name="hshhxuhxu" localSheetId="28">#REF!</definedName>
    <definedName name="hshhxuhxu" localSheetId="0">#REF!</definedName>
    <definedName name="hshhxuhxu" localSheetId="2">#REF!</definedName>
    <definedName name="hshhxuhxu" localSheetId="32">#REF!</definedName>
    <definedName name="hshhxuhxu" localSheetId="44">#REF!</definedName>
    <definedName name="hshhxuhxu">#REF!</definedName>
    <definedName name="IntRate_11" localSheetId="28">#REF!</definedName>
    <definedName name="IntRate_11" localSheetId="44">#REF!</definedName>
    <definedName name="IntRate_11">#REF!</definedName>
    <definedName name="IntRate_12" localSheetId="28">#REF!</definedName>
    <definedName name="IntRate_12" localSheetId="44">#REF!</definedName>
    <definedName name="IntRate_12">#REF!</definedName>
    <definedName name="IntRate_WC" localSheetId="3">#REF!</definedName>
    <definedName name="IntRate_WC" localSheetId="26">#REF!</definedName>
    <definedName name="IntRate_WC" localSheetId="28">#REF!</definedName>
    <definedName name="IntRate_WC" localSheetId="0">#REF!</definedName>
    <definedName name="IntRate_WC" localSheetId="2">#REF!</definedName>
    <definedName name="IntRate_WC" localSheetId="32">#REF!</definedName>
    <definedName name="IntRate_WC" localSheetId="44">#REF!</definedName>
    <definedName name="IntRate_WC">#REF!</definedName>
    <definedName name="IntRate_WC10" localSheetId="28">#REF!</definedName>
    <definedName name="IntRate_WC10" localSheetId="44">#REF!</definedName>
    <definedName name="IntRate_WC10">#REF!</definedName>
    <definedName name="IntRate_WC11" localSheetId="28">#REF!</definedName>
    <definedName name="IntRate_WC11" localSheetId="44">#REF!</definedName>
    <definedName name="IntRate_WC11">#REF!</definedName>
    <definedName name="IntRate_WC12" localSheetId="28">#REF!</definedName>
    <definedName name="IntRate_WC12" localSheetId="44">#REF!</definedName>
    <definedName name="IntRate_WC12">#REF!</definedName>
    <definedName name="IntRate12" localSheetId="3">#REF!</definedName>
    <definedName name="IntRate12" localSheetId="26">#REF!</definedName>
    <definedName name="IntRate12" localSheetId="18">#REF!</definedName>
    <definedName name="IntRate12" localSheetId="19">#REF!</definedName>
    <definedName name="IntRate12" localSheetId="28">#REF!</definedName>
    <definedName name="IntRate12" localSheetId="0">#REF!</definedName>
    <definedName name="IntRate12" localSheetId="2">#REF!</definedName>
    <definedName name="IntRate12" localSheetId="32">#REF!</definedName>
    <definedName name="IntRate12" localSheetId="44">#REF!</definedName>
    <definedName name="IntRate12">#REF!</definedName>
    <definedName name="IntRate13" localSheetId="26">#REF!</definedName>
    <definedName name="IntRate13" localSheetId="18">#REF!</definedName>
    <definedName name="IntRate13" localSheetId="19">#REF!</definedName>
    <definedName name="IntRate13" localSheetId="28">#REF!</definedName>
    <definedName name="IntRate13" localSheetId="0">#REF!</definedName>
    <definedName name="IntRate13" localSheetId="2">#REF!</definedName>
    <definedName name="IntRate13" localSheetId="32">#REF!</definedName>
    <definedName name="IntRate13" localSheetId="44">#REF!</definedName>
    <definedName name="IntRate13">#REF!</definedName>
    <definedName name="IntRateWC11" localSheetId="26">#REF!</definedName>
    <definedName name="IntRateWC11" localSheetId="18">#REF!</definedName>
    <definedName name="IntRateWC11" localSheetId="19">#REF!</definedName>
    <definedName name="IntRateWC11" localSheetId="28">#REF!</definedName>
    <definedName name="IntRateWC11" localSheetId="0">#REF!</definedName>
    <definedName name="IntRateWC11" localSheetId="2">#REF!</definedName>
    <definedName name="IntRateWC11" localSheetId="32">#REF!</definedName>
    <definedName name="IntRateWC11" localSheetId="44">#REF!</definedName>
    <definedName name="IntRateWC11">#REF!</definedName>
    <definedName name="IntRateWC12" localSheetId="26">#REF!</definedName>
    <definedName name="IntRateWC12" localSheetId="18">#REF!</definedName>
    <definedName name="IntRateWC12" localSheetId="19">#REF!</definedName>
    <definedName name="IntRateWC12" localSheetId="28">#REF!</definedName>
    <definedName name="IntRateWC12" localSheetId="0">#REF!</definedName>
    <definedName name="IntRateWC12" localSheetId="2">#REF!</definedName>
    <definedName name="IntRateWC12" localSheetId="32">#REF!</definedName>
    <definedName name="IntRateWC12" localSheetId="44">#REF!</definedName>
    <definedName name="IntRateWC12">#REF!</definedName>
    <definedName name="IntRateWC13" localSheetId="26">#REF!</definedName>
    <definedName name="IntRateWC13" localSheetId="18">#REF!</definedName>
    <definedName name="IntRateWC13" localSheetId="19">#REF!</definedName>
    <definedName name="IntRateWC13" localSheetId="28">#REF!</definedName>
    <definedName name="IntRateWC13" localSheetId="0">#REF!</definedName>
    <definedName name="IntRateWC13" localSheetId="2">#REF!</definedName>
    <definedName name="IntRateWC13" localSheetId="32">#REF!</definedName>
    <definedName name="IntRateWC13" localSheetId="44">#REF!</definedName>
    <definedName name="IntRateWC13">#REF!</definedName>
    <definedName name="Intt_Charge_cY" localSheetId="3">#REF!,#REF!</definedName>
    <definedName name="Intt_Charge_cY" localSheetId="26">#REF!,#REF!</definedName>
    <definedName name="Intt_Charge_cY" localSheetId="18">#REF!,#REF!</definedName>
    <definedName name="Intt_Charge_cY" localSheetId="19">#REF!,#REF!</definedName>
    <definedName name="Intt_Charge_cY" localSheetId="28">#REF!,#REF!</definedName>
    <definedName name="Intt_Charge_cY" localSheetId="0">#REF!,#REF!</definedName>
    <definedName name="Intt_Charge_cY" localSheetId="2">#REF!,#REF!</definedName>
    <definedName name="Intt_Charge_cY" localSheetId="32">#REF!,#REF!</definedName>
    <definedName name="Intt_Charge_cY" localSheetId="44">#REF!,#REF!</definedName>
    <definedName name="Intt_Charge_cY">#REF!,#REF!</definedName>
    <definedName name="Intt_Charge_cy_1" localSheetId="3">#REF!,#REF!</definedName>
    <definedName name="Intt_Charge_cy_1" localSheetId="26">#REF!,#REF!</definedName>
    <definedName name="Intt_Charge_cy_1" localSheetId="28">#REF!,#REF!</definedName>
    <definedName name="Intt_Charge_cy_1" localSheetId="0">#REF!,#REF!</definedName>
    <definedName name="Intt_Charge_cy_1" localSheetId="2">#REF!,#REF!</definedName>
    <definedName name="Intt_Charge_cy_1" localSheetId="32">#REF!,#REF!</definedName>
    <definedName name="Intt_Charge_cy_1" localSheetId="44">#REF!,#REF!</definedName>
    <definedName name="Intt_Charge_cy_1">#REF!,#REF!</definedName>
    <definedName name="Intt_Charge_eY" localSheetId="26">#REF!,#REF!</definedName>
    <definedName name="Intt_Charge_eY" localSheetId="18">#REF!,#REF!</definedName>
    <definedName name="Intt_Charge_eY" localSheetId="19">#REF!,#REF!</definedName>
    <definedName name="Intt_Charge_eY" localSheetId="0">#REF!,#REF!</definedName>
    <definedName name="Intt_Charge_eY" localSheetId="2">#REF!,#REF!</definedName>
    <definedName name="Intt_Charge_eY" localSheetId="32">#REF!,#REF!</definedName>
    <definedName name="Intt_Charge_eY" localSheetId="44">#REF!,#REF!</definedName>
    <definedName name="Intt_Charge_eY">#REF!,#REF!</definedName>
    <definedName name="Intt_Charge_ey_1" localSheetId="3">#REF!,#REF!</definedName>
    <definedName name="Intt_Charge_ey_1" localSheetId="26">#REF!,#REF!</definedName>
    <definedName name="Intt_Charge_ey_1" localSheetId="28">#REF!,#REF!</definedName>
    <definedName name="Intt_Charge_ey_1" localSheetId="0">#REF!,#REF!</definedName>
    <definedName name="Intt_Charge_ey_1" localSheetId="2">#REF!,#REF!</definedName>
    <definedName name="Intt_Charge_ey_1" localSheetId="32">#REF!,#REF!</definedName>
    <definedName name="Intt_Charge_ey_1" localSheetId="44">#REF!,#REF!</definedName>
    <definedName name="Intt_Charge_ey_1">#REF!,#REF!</definedName>
    <definedName name="Intt_Charge_PY" localSheetId="26">#REF!,#REF!</definedName>
    <definedName name="Intt_Charge_PY" localSheetId="18">#REF!,#REF!</definedName>
    <definedName name="Intt_Charge_PY" localSheetId="19">#REF!,#REF!</definedName>
    <definedName name="Intt_Charge_PY" localSheetId="0">#REF!,#REF!</definedName>
    <definedName name="Intt_Charge_PY" localSheetId="2">#REF!,#REF!</definedName>
    <definedName name="Intt_Charge_PY" localSheetId="32">#REF!,#REF!</definedName>
    <definedName name="Intt_Charge_PY" localSheetId="44">#REF!,#REF!</definedName>
    <definedName name="Intt_Charge_PY">#REF!,#REF!</definedName>
    <definedName name="Intt_Charge_py_1" localSheetId="3">#REF!,#REF!</definedName>
    <definedName name="Intt_Charge_py_1" localSheetId="26">#REF!,#REF!</definedName>
    <definedName name="Intt_Charge_py_1" localSheetId="28">#REF!,#REF!</definedName>
    <definedName name="Intt_Charge_py_1" localSheetId="0">#REF!,#REF!</definedName>
    <definedName name="Intt_Charge_py_1" localSheetId="2">#REF!,#REF!</definedName>
    <definedName name="Intt_Charge_py_1" localSheetId="32">#REF!,#REF!</definedName>
    <definedName name="Intt_Charge_py_1" localSheetId="44">#REF!,#REF!</definedName>
    <definedName name="Intt_Charge_py_1">#REF!,#REF!</definedName>
    <definedName name="IsCircular" localSheetId="3">#REF!</definedName>
    <definedName name="IsCircular" localSheetId="26">#REF!</definedName>
    <definedName name="IsCircular" localSheetId="18">#REF!</definedName>
    <definedName name="IsCircular" localSheetId="19">#REF!</definedName>
    <definedName name="IsCircular" localSheetId="28">#REF!</definedName>
    <definedName name="IsCircular" localSheetId="0">#REF!</definedName>
    <definedName name="IsCircular" localSheetId="2">#REF!</definedName>
    <definedName name="IsCircular" localSheetId="32">#REF!</definedName>
    <definedName name="IsCircular" localSheetId="44">#REF!</definedName>
    <definedName name="IsCircular">#REF!</definedName>
    <definedName name="jjkjklj" localSheetId="26">#REF!,#REF!</definedName>
    <definedName name="jjkjklj" localSheetId="0">#REF!,#REF!</definedName>
    <definedName name="jjkjklj" localSheetId="2">#REF!,#REF!</definedName>
    <definedName name="jjkjklj" localSheetId="32">#REF!,#REF!</definedName>
    <definedName name="jjkjklj" localSheetId="44">#REF!,#REF!</definedName>
    <definedName name="jjkjklj">#REF!,#REF!</definedName>
    <definedName name="jjskjsklj" localSheetId="26">#REF!</definedName>
    <definedName name="jjskjsklj" localSheetId="28">#REF!</definedName>
    <definedName name="jjskjsklj" localSheetId="0">#REF!</definedName>
    <definedName name="jjskjsklj" localSheetId="2">#REF!</definedName>
    <definedName name="jjskjsklj" localSheetId="32">#REF!</definedName>
    <definedName name="jjskjsklj" localSheetId="44">#REF!</definedName>
    <definedName name="jjskjsklj">#REF!</definedName>
    <definedName name="jsjssij" localSheetId="26">#REF!</definedName>
    <definedName name="jsjssij" localSheetId="28">#REF!</definedName>
    <definedName name="jsjssij" localSheetId="0">#REF!</definedName>
    <definedName name="jsjssij" localSheetId="2">#REF!</definedName>
    <definedName name="jsjssij" localSheetId="32">#REF!</definedName>
    <definedName name="jsjssij" localSheetId="44">#REF!</definedName>
    <definedName name="jsjssij">#REF!</definedName>
    <definedName name="K2000_" localSheetId="28">#REF!</definedName>
    <definedName name="K2000_">#N/A</definedName>
    <definedName name="kishor" localSheetId="26">#REF!</definedName>
    <definedName name="kishor" localSheetId="28">#REF!</definedName>
    <definedName name="kishor" localSheetId="0">#REF!</definedName>
    <definedName name="kishor" localSheetId="2">#REF!</definedName>
    <definedName name="kishor" localSheetId="32">#REF!</definedName>
    <definedName name="kishor" localSheetId="44">#REF!</definedName>
    <definedName name="kishor">#REF!</definedName>
    <definedName name="kkJJ" localSheetId="26">#REF!</definedName>
    <definedName name="kkJJ" localSheetId="28">#REF!</definedName>
    <definedName name="kkJJ" localSheetId="0">#REF!</definedName>
    <definedName name="kkJJ" localSheetId="2">#REF!</definedName>
    <definedName name="kkJJ" localSheetId="32">#REF!</definedName>
    <definedName name="kkJJ" localSheetId="44">#REF!</definedName>
    <definedName name="kkJJ">#REF!</definedName>
    <definedName name="ksokskosk" localSheetId="26">#REF!</definedName>
    <definedName name="ksokskosk" localSheetId="28">#REF!</definedName>
    <definedName name="ksokskosk" localSheetId="0">#REF!</definedName>
    <definedName name="ksokskosk" localSheetId="2">#REF!</definedName>
    <definedName name="ksokskosk" localSheetId="32">#REF!</definedName>
    <definedName name="ksokskosk" localSheetId="44">#REF!</definedName>
    <definedName name="ksokskosk">#REF!</definedName>
    <definedName name="llJkljl" localSheetId="26">#REF!</definedName>
    <definedName name="llJkljl" localSheetId="28">#REF!</definedName>
    <definedName name="llJkljl" localSheetId="0">#REF!</definedName>
    <definedName name="llJkljl" localSheetId="2">#REF!</definedName>
    <definedName name="llJkljl" localSheetId="32">#REF!</definedName>
    <definedName name="llJkljl" localSheetId="44">#REF!</definedName>
    <definedName name="llJkljl">#REF!</definedName>
    <definedName name="LTR_M_NEW" localSheetId="3">#REF!</definedName>
    <definedName name="LTR_M_NEW" localSheetId="26">#REF!</definedName>
    <definedName name="LTR_M_NEW" localSheetId="18">#REF!</definedName>
    <definedName name="LTR_M_NEW" localSheetId="19">#REF!</definedName>
    <definedName name="LTR_M_NEW" localSheetId="28">#REF!</definedName>
    <definedName name="LTR_M_NEW" localSheetId="0">#REF!</definedName>
    <definedName name="LTR_M_NEW" localSheetId="2">#REF!</definedName>
    <definedName name="LTR_M_NEW" localSheetId="32">#REF!</definedName>
    <definedName name="LTR_M_NEW" localSheetId="44">#REF!</definedName>
    <definedName name="LTR_M_NEW">#REF!</definedName>
    <definedName name="LTR_MOR" localSheetId="26">#REF!</definedName>
    <definedName name="LTR_MOR" localSheetId="18">#REF!</definedName>
    <definedName name="LTR_MOR" localSheetId="19">#REF!</definedName>
    <definedName name="LTR_MOR" localSheetId="28">#REF!</definedName>
    <definedName name="LTR_MOR" localSheetId="0">#REF!</definedName>
    <definedName name="LTR_MOR" localSheetId="2">#REF!</definedName>
    <definedName name="LTR_MOR" localSheetId="32">#REF!</definedName>
    <definedName name="LTR_MOR" localSheetId="44">#REF!</definedName>
    <definedName name="LTR_MOR">#REF!</definedName>
    <definedName name="new" localSheetId="26" hidden="1">#REF!</definedName>
    <definedName name="new" localSheetId="31" hidden="1">#REF!</definedName>
    <definedName name="new" localSheetId="33" hidden="1">#REF!</definedName>
    <definedName name="new" localSheetId="13" hidden="1">#REF!</definedName>
    <definedName name="new" localSheetId="18" hidden="1">#REF!</definedName>
    <definedName name="new" localSheetId="19" hidden="1">#REF!</definedName>
    <definedName name="new" localSheetId="29" hidden="1">#REF!</definedName>
    <definedName name="new" localSheetId="28" hidden="1">#REF!</definedName>
    <definedName name="new" localSheetId="0" hidden="1">#REF!</definedName>
    <definedName name="new" localSheetId="2" hidden="1">#REF!</definedName>
    <definedName name="new" localSheetId="32" hidden="1">#REF!</definedName>
    <definedName name="new" localSheetId="44" hidden="1">#REF!</definedName>
    <definedName name="new" hidden="1">#REF!</definedName>
    <definedName name="nnkklj" localSheetId="26">#REF!</definedName>
    <definedName name="nnkklj" localSheetId="28">#REF!</definedName>
    <definedName name="nnkklj" localSheetId="0">#REF!</definedName>
    <definedName name="nnkklj" localSheetId="2">#REF!</definedName>
    <definedName name="nnkklj" localSheetId="32">#REF!</definedName>
    <definedName name="nnkklj" localSheetId="44">#REF!</definedName>
    <definedName name="nnkklj">#REF!</definedName>
    <definedName name="O" localSheetId="3">#REF!</definedName>
    <definedName name="O" localSheetId="26">#REF!</definedName>
    <definedName name="O" localSheetId="18">#REF!</definedName>
    <definedName name="O" localSheetId="19">#REF!</definedName>
    <definedName name="O" localSheetId="28">#REF!</definedName>
    <definedName name="O" localSheetId="0">#REF!</definedName>
    <definedName name="O" localSheetId="2">#REF!</definedName>
    <definedName name="O" localSheetId="32">#REF!</definedName>
    <definedName name="O" localSheetId="44">#REF!</definedName>
    <definedName name="O">#REF!</definedName>
    <definedName name="Olklkk" localSheetId="26">#REF!</definedName>
    <definedName name="Olklkk" localSheetId="28">#REF!</definedName>
    <definedName name="Olklkk" localSheetId="0">#REF!</definedName>
    <definedName name="Olklkk" localSheetId="2">#REF!</definedName>
    <definedName name="Olklkk" localSheetId="32">#REF!</definedName>
    <definedName name="Olklkk" localSheetId="44">#REF!</definedName>
    <definedName name="Olklkk">#REF!</definedName>
    <definedName name="p" localSheetId="26">#REF!</definedName>
    <definedName name="p" localSheetId="18">#REF!</definedName>
    <definedName name="p" localSheetId="19">#REF!</definedName>
    <definedName name="p" localSheetId="28">#REF!</definedName>
    <definedName name="p" localSheetId="0">#REF!</definedName>
    <definedName name="p" localSheetId="2">#REF!</definedName>
    <definedName name="p" localSheetId="32">#REF!</definedName>
    <definedName name="p" localSheetId="44">#REF!</definedName>
    <definedName name="p">#REF!</definedName>
    <definedName name="PAGE1" localSheetId="26">#REF!</definedName>
    <definedName name="PAGE1" localSheetId="18">#REF!</definedName>
    <definedName name="PAGE1" localSheetId="19">#REF!</definedName>
    <definedName name="PAGE1" localSheetId="28">#REF!</definedName>
    <definedName name="PAGE1" localSheetId="0">#REF!</definedName>
    <definedName name="PAGE1" localSheetId="2">#REF!</definedName>
    <definedName name="PAGE1" localSheetId="32">#REF!</definedName>
    <definedName name="PAGE1" localSheetId="44">#REF!</definedName>
    <definedName name="PAGE1">#REF!</definedName>
    <definedName name="page10" localSheetId="26">#REF!</definedName>
    <definedName name="page10" localSheetId="18">#REF!</definedName>
    <definedName name="page10" localSheetId="19">#REF!</definedName>
    <definedName name="page10" localSheetId="28">#REF!</definedName>
    <definedName name="page10" localSheetId="0">#REF!</definedName>
    <definedName name="page10" localSheetId="2">#REF!</definedName>
    <definedName name="page10" localSheetId="32">#REF!</definedName>
    <definedName name="page10" localSheetId="44">#REF!</definedName>
    <definedName name="page10">#REF!</definedName>
    <definedName name="PAGE10_6" localSheetId="26">#REF!</definedName>
    <definedName name="PAGE10_6" localSheetId="18">#REF!</definedName>
    <definedName name="PAGE10_6" localSheetId="19">#REF!</definedName>
    <definedName name="PAGE10_6" localSheetId="28">#REF!</definedName>
    <definedName name="PAGE10_6" localSheetId="0">#REF!</definedName>
    <definedName name="PAGE10_6" localSheetId="2">#REF!</definedName>
    <definedName name="PAGE10_6" localSheetId="32">#REF!</definedName>
    <definedName name="PAGE10_6" localSheetId="44">#REF!</definedName>
    <definedName name="PAGE10_6">#REF!</definedName>
    <definedName name="PAGE11_6" localSheetId="26">#REF!</definedName>
    <definedName name="PAGE11_6" localSheetId="18">#REF!</definedName>
    <definedName name="PAGE11_6" localSheetId="19">#REF!</definedName>
    <definedName name="PAGE11_6" localSheetId="28">#REF!</definedName>
    <definedName name="PAGE11_6" localSheetId="0">#REF!</definedName>
    <definedName name="PAGE11_6" localSheetId="2">#REF!</definedName>
    <definedName name="PAGE11_6" localSheetId="32">#REF!</definedName>
    <definedName name="PAGE11_6" localSheetId="44">#REF!</definedName>
    <definedName name="PAGE11_6">#REF!</definedName>
    <definedName name="PAGE12_6" localSheetId="26">#REF!</definedName>
    <definedName name="PAGE12_6" localSheetId="18">#REF!</definedName>
    <definedName name="PAGE12_6" localSheetId="19">#REF!</definedName>
    <definedName name="PAGE12_6" localSheetId="28">#REF!</definedName>
    <definedName name="PAGE12_6" localSheetId="0">#REF!</definedName>
    <definedName name="PAGE12_6" localSheetId="2">#REF!</definedName>
    <definedName name="PAGE12_6" localSheetId="32">#REF!</definedName>
    <definedName name="PAGE12_6" localSheetId="44">#REF!</definedName>
    <definedName name="PAGE12_6">#REF!</definedName>
    <definedName name="PAGE14" localSheetId="26">#REF!</definedName>
    <definedName name="PAGE14" localSheetId="18">#REF!</definedName>
    <definedName name="PAGE14" localSheetId="19">#REF!</definedName>
    <definedName name="PAGE14" localSheetId="28">#REF!</definedName>
    <definedName name="PAGE14" localSheetId="0">#REF!</definedName>
    <definedName name="PAGE14" localSheetId="2">#REF!</definedName>
    <definedName name="PAGE14" localSheetId="32">#REF!</definedName>
    <definedName name="PAGE14" localSheetId="44">#REF!</definedName>
    <definedName name="PAGE14">#REF!</definedName>
    <definedName name="PAGE15" localSheetId="26">#REF!</definedName>
    <definedName name="PAGE15" localSheetId="18">#REF!</definedName>
    <definedName name="PAGE15" localSheetId="19">#REF!</definedName>
    <definedName name="PAGE15" localSheetId="28">#REF!</definedName>
    <definedName name="PAGE15" localSheetId="0">#REF!</definedName>
    <definedName name="PAGE15" localSheetId="2">#REF!</definedName>
    <definedName name="PAGE15" localSheetId="32">#REF!</definedName>
    <definedName name="PAGE15" localSheetId="44">#REF!</definedName>
    <definedName name="PAGE15">#REF!</definedName>
    <definedName name="PAGE16" localSheetId="26">#REF!</definedName>
    <definedName name="PAGE16" localSheetId="18">#REF!</definedName>
    <definedName name="PAGE16" localSheetId="19">#REF!</definedName>
    <definedName name="PAGE16" localSheetId="28">#REF!</definedName>
    <definedName name="PAGE16" localSheetId="0">#REF!</definedName>
    <definedName name="PAGE16" localSheetId="2">#REF!</definedName>
    <definedName name="PAGE16" localSheetId="32">#REF!</definedName>
    <definedName name="PAGE16" localSheetId="44">#REF!</definedName>
    <definedName name="PAGE16">#REF!</definedName>
    <definedName name="PAGE17" localSheetId="26">#REF!</definedName>
    <definedName name="PAGE17" localSheetId="18">#REF!</definedName>
    <definedName name="PAGE17" localSheetId="19">#REF!</definedName>
    <definedName name="PAGE17" localSheetId="28">#REF!</definedName>
    <definedName name="PAGE17" localSheetId="0">#REF!</definedName>
    <definedName name="PAGE17" localSheetId="2">#REF!</definedName>
    <definedName name="PAGE17" localSheetId="32">#REF!</definedName>
    <definedName name="PAGE17" localSheetId="44">#REF!</definedName>
    <definedName name="PAGE17">#REF!</definedName>
    <definedName name="PAGE18" localSheetId="26">#REF!</definedName>
    <definedName name="PAGE18" localSheetId="18">#REF!</definedName>
    <definedName name="PAGE18" localSheetId="19">#REF!</definedName>
    <definedName name="PAGE18" localSheetId="28">#REF!</definedName>
    <definedName name="PAGE18" localSheetId="0">#REF!</definedName>
    <definedName name="PAGE18" localSheetId="2">#REF!</definedName>
    <definedName name="PAGE18" localSheetId="32">#REF!</definedName>
    <definedName name="PAGE18" localSheetId="44">#REF!</definedName>
    <definedName name="PAGE18">#REF!</definedName>
    <definedName name="PAGE19" localSheetId="26">#REF!</definedName>
    <definedName name="PAGE19" localSheetId="18">#REF!</definedName>
    <definedName name="PAGE19" localSheetId="19">#REF!</definedName>
    <definedName name="PAGE19" localSheetId="28">#REF!</definedName>
    <definedName name="PAGE19" localSheetId="0">#REF!</definedName>
    <definedName name="PAGE19" localSheetId="2">#REF!</definedName>
    <definedName name="PAGE19" localSheetId="32">#REF!</definedName>
    <definedName name="PAGE19" localSheetId="44">#REF!</definedName>
    <definedName name="PAGE19">#REF!</definedName>
    <definedName name="PAGE2" localSheetId="26">#REF!</definedName>
    <definedName name="PAGE2" localSheetId="18">#REF!</definedName>
    <definedName name="PAGE2" localSheetId="19">#REF!</definedName>
    <definedName name="PAGE2" localSheetId="28">#REF!</definedName>
    <definedName name="PAGE2" localSheetId="0">#REF!</definedName>
    <definedName name="PAGE2" localSheetId="2">#REF!</definedName>
    <definedName name="PAGE2" localSheetId="32">#REF!</definedName>
    <definedName name="PAGE2" localSheetId="44">#REF!</definedName>
    <definedName name="PAGE2">#REF!</definedName>
    <definedName name="PAGE2_6" localSheetId="26">#REF!</definedName>
    <definedName name="PAGE2_6" localSheetId="18">#REF!</definedName>
    <definedName name="PAGE2_6" localSheetId="19">#REF!</definedName>
    <definedName name="PAGE2_6" localSheetId="28">#REF!</definedName>
    <definedName name="PAGE2_6" localSheetId="0">#REF!</definedName>
    <definedName name="PAGE2_6" localSheetId="2">#REF!</definedName>
    <definedName name="PAGE2_6" localSheetId="32">#REF!</definedName>
    <definedName name="PAGE2_6" localSheetId="44">#REF!</definedName>
    <definedName name="PAGE2_6">#REF!</definedName>
    <definedName name="PAGE20" localSheetId="26">#REF!</definedName>
    <definedName name="PAGE20" localSheetId="18">#REF!</definedName>
    <definedName name="PAGE20" localSheetId="19">#REF!</definedName>
    <definedName name="PAGE20" localSheetId="28">#REF!</definedName>
    <definedName name="PAGE20" localSheetId="0">#REF!</definedName>
    <definedName name="PAGE20" localSheetId="2">#REF!</definedName>
    <definedName name="PAGE20" localSheetId="32">#REF!</definedName>
    <definedName name="PAGE20" localSheetId="44">#REF!</definedName>
    <definedName name="PAGE20">#REF!</definedName>
    <definedName name="PAGE21" localSheetId="26">#REF!</definedName>
    <definedName name="PAGE21" localSheetId="18">#REF!</definedName>
    <definedName name="PAGE21" localSheetId="19">#REF!</definedName>
    <definedName name="PAGE21" localSheetId="28">#REF!</definedName>
    <definedName name="PAGE21" localSheetId="0">#REF!</definedName>
    <definedName name="PAGE21" localSheetId="2">#REF!</definedName>
    <definedName name="PAGE21" localSheetId="32">#REF!</definedName>
    <definedName name="PAGE21" localSheetId="44">#REF!</definedName>
    <definedName name="PAGE21">#REF!</definedName>
    <definedName name="PAGE210" localSheetId="26">#REF!</definedName>
    <definedName name="PAGE210" localSheetId="18">#REF!</definedName>
    <definedName name="PAGE210" localSheetId="19">#REF!</definedName>
    <definedName name="PAGE210" localSheetId="28">#REF!</definedName>
    <definedName name="PAGE210" localSheetId="0">#REF!</definedName>
    <definedName name="PAGE210" localSheetId="2">#REF!</definedName>
    <definedName name="PAGE210" localSheetId="32">#REF!</definedName>
    <definedName name="PAGE210" localSheetId="44">#REF!</definedName>
    <definedName name="PAGE210">#REF!</definedName>
    <definedName name="PAGE22" localSheetId="26">#REF!</definedName>
    <definedName name="PAGE22" localSheetId="18">#REF!</definedName>
    <definedName name="PAGE22" localSheetId="19">#REF!</definedName>
    <definedName name="PAGE22" localSheetId="28">#REF!</definedName>
    <definedName name="PAGE22" localSheetId="0">#REF!</definedName>
    <definedName name="PAGE22" localSheetId="2">#REF!</definedName>
    <definedName name="PAGE22" localSheetId="32">#REF!</definedName>
    <definedName name="PAGE22" localSheetId="44">#REF!</definedName>
    <definedName name="PAGE22">#REF!</definedName>
    <definedName name="PAGE23" localSheetId="26">#REF!</definedName>
    <definedName name="PAGE23" localSheetId="18">#REF!</definedName>
    <definedName name="PAGE23" localSheetId="19">#REF!</definedName>
    <definedName name="PAGE23" localSheetId="28">#REF!</definedName>
    <definedName name="PAGE23" localSheetId="0">#REF!</definedName>
    <definedName name="PAGE23" localSheetId="2">#REF!</definedName>
    <definedName name="PAGE23" localSheetId="32">#REF!</definedName>
    <definedName name="PAGE23" localSheetId="44">#REF!</definedName>
    <definedName name="PAGE23">#REF!</definedName>
    <definedName name="PAGE24" localSheetId="26">#REF!</definedName>
    <definedName name="PAGE24" localSheetId="18">#REF!</definedName>
    <definedName name="PAGE24" localSheetId="19">#REF!</definedName>
    <definedName name="PAGE24" localSheetId="28">#REF!</definedName>
    <definedName name="PAGE24" localSheetId="0">#REF!</definedName>
    <definedName name="PAGE24" localSheetId="2">#REF!</definedName>
    <definedName name="PAGE24" localSheetId="32">#REF!</definedName>
    <definedName name="PAGE24" localSheetId="44">#REF!</definedName>
    <definedName name="PAGE24">#REF!</definedName>
    <definedName name="PAGE25" localSheetId="26">#REF!</definedName>
    <definedName name="PAGE25" localSheetId="18">#REF!</definedName>
    <definedName name="PAGE25" localSheetId="19">#REF!</definedName>
    <definedName name="PAGE25" localSheetId="28">#REF!</definedName>
    <definedName name="PAGE25" localSheetId="0">#REF!</definedName>
    <definedName name="PAGE25" localSheetId="2">#REF!</definedName>
    <definedName name="PAGE25" localSheetId="32">#REF!</definedName>
    <definedName name="PAGE25" localSheetId="44">#REF!</definedName>
    <definedName name="PAGE25">#REF!</definedName>
    <definedName name="PAGE26" localSheetId="26">#REF!</definedName>
    <definedName name="PAGE26" localSheetId="18">#REF!</definedName>
    <definedName name="PAGE26" localSheetId="19">#REF!</definedName>
    <definedName name="PAGE26" localSheetId="28">#REF!</definedName>
    <definedName name="PAGE26" localSheetId="0">#REF!</definedName>
    <definedName name="PAGE26" localSheetId="2">#REF!</definedName>
    <definedName name="PAGE26" localSheetId="32">#REF!</definedName>
    <definedName name="PAGE26" localSheetId="44">#REF!</definedName>
    <definedName name="PAGE26">#REF!</definedName>
    <definedName name="PAGE27" localSheetId="26">#REF!</definedName>
    <definedName name="PAGE27" localSheetId="18">#REF!</definedName>
    <definedName name="PAGE27" localSheetId="19">#REF!</definedName>
    <definedName name="PAGE27" localSheetId="28">#REF!</definedName>
    <definedName name="PAGE27" localSheetId="0">#REF!</definedName>
    <definedName name="PAGE27" localSheetId="2">#REF!</definedName>
    <definedName name="PAGE27" localSheetId="32">#REF!</definedName>
    <definedName name="PAGE27" localSheetId="44">#REF!</definedName>
    <definedName name="PAGE27">#REF!</definedName>
    <definedName name="PAGE28" localSheetId="26">#REF!</definedName>
    <definedName name="PAGE28" localSheetId="18">#REF!</definedName>
    <definedName name="PAGE28" localSheetId="19">#REF!</definedName>
    <definedName name="PAGE28" localSheetId="28">#REF!</definedName>
    <definedName name="PAGE28" localSheetId="0">#REF!</definedName>
    <definedName name="PAGE28" localSheetId="2">#REF!</definedName>
    <definedName name="PAGE28" localSheetId="32">#REF!</definedName>
    <definedName name="PAGE28" localSheetId="44">#REF!</definedName>
    <definedName name="PAGE28">#REF!</definedName>
    <definedName name="PAGE29" localSheetId="26">#REF!</definedName>
    <definedName name="PAGE29" localSheetId="18">#REF!</definedName>
    <definedName name="PAGE29" localSheetId="19">#REF!</definedName>
    <definedName name="PAGE29" localSheetId="28">#REF!</definedName>
    <definedName name="PAGE29" localSheetId="0">#REF!</definedName>
    <definedName name="PAGE29" localSheetId="2">#REF!</definedName>
    <definedName name="PAGE29" localSheetId="32">#REF!</definedName>
    <definedName name="PAGE29" localSheetId="44">#REF!</definedName>
    <definedName name="PAGE29">#REF!</definedName>
    <definedName name="PAGE3_6" localSheetId="26">#REF!</definedName>
    <definedName name="PAGE3_6" localSheetId="18">#REF!</definedName>
    <definedName name="PAGE3_6" localSheetId="19">#REF!</definedName>
    <definedName name="PAGE3_6" localSheetId="28">#REF!</definedName>
    <definedName name="PAGE3_6" localSheetId="0">#REF!</definedName>
    <definedName name="PAGE3_6" localSheetId="2">#REF!</definedName>
    <definedName name="PAGE3_6" localSheetId="32">#REF!</definedName>
    <definedName name="PAGE3_6" localSheetId="44">#REF!</definedName>
    <definedName name="PAGE3_6">#REF!</definedName>
    <definedName name="page34" localSheetId="26">#REF!</definedName>
    <definedName name="page34" localSheetId="18">#REF!</definedName>
    <definedName name="page34" localSheetId="19">#REF!</definedName>
    <definedName name="page34" localSheetId="28">#REF!</definedName>
    <definedName name="page34" localSheetId="0">#REF!</definedName>
    <definedName name="page34" localSheetId="2">#REF!</definedName>
    <definedName name="page34" localSheetId="32">#REF!</definedName>
    <definedName name="page34" localSheetId="44">#REF!</definedName>
    <definedName name="page34">#REF!</definedName>
    <definedName name="Page35" localSheetId="26">#REF!</definedName>
    <definedName name="Page35" localSheetId="18">#REF!</definedName>
    <definedName name="Page35" localSheetId="19">#REF!</definedName>
    <definedName name="Page35" localSheetId="28">#REF!</definedName>
    <definedName name="Page35" localSheetId="0">#REF!</definedName>
    <definedName name="Page35" localSheetId="2">#REF!</definedName>
    <definedName name="Page35" localSheetId="32">#REF!</definedName>
    <definedName name="Page35" localSheetId="44">#REF!</definedName>
    <definedName name="Page35">#REF!</definedName>
    <definedName name="PAGE4_6" localSheetId="26">#REF!</definedName>
    <definedName name="PAGE4_6" localSheetId="18">#REF!</definedName>
    <definedName name="PAGE4_6" localSheetId="19">#REF!</definedName>
    <definedName name="PAGE4_6" localSheetId="28">#REF!</definedName>
    <definedName name="PAGE4_6" localSheetId="0">#REF!</definedName>
    <definedName name="PAGE4_6" localSheetId="2">#REF!</definedName>
    <definedName name="PAGE4_6" localSheetId="32">#REF!</definedName>
    <definedName name="PAGE4_6" localSheetId="44">#REF!</definedName>
    <definedName name="PAGE4_6">#REF!</definedName>
    <definedName name="PAGE5_6" localSheetId="26">#REF!</definedName>
    <definedName name="PAGE5_6" localSheetId="18">#REF!</definedName>
    <definedName name="PAGE5_6" localSheetId="19">#REF!</definedName>
    <definedName name="PAGE5_6" localSheetId="28">#REF!</definedName>
    <definedName name="PAGE5_6" localSheetId="0">#REF!</definedName>
    <definedName name="PAGE5_6" localSheetId="2">#REF!</definedName>
    <definedName name="PAGE5_6" localSheetId="32">#REF!</definedName>
    <definedName name="PAGE5_6" localSheetId="44">#REF!</definedName>
    <definedName name="PAGE5_6">#REF!</definedName>
    <definedName name="page50" localSheetId="26">#REF!</definedName>
    <definedName name="page50" localSheetId="18">#REF!</definedName>
    <definedName name="page50" localSheetId="19">#REF!</definedName>
    <definedName name="page50" localSheetId="28">#REF!</definedName>
    <definedName name="page50" localSheetId="0">#REF!</definedName>
    <definedName name="page50" localSheetId="2">#REF!</definedName>
    <definedName name="page50" localSheetId="32">#REF!</definedName>
    <definedName name="page50" localSheetId="44">#REF!</definedName>
    <definedName name="page50">#REF!</definedName>
    <definedName name="page51" localSheetId="26">#REF!</definedName>
    <definedName name="page51" localSheetId="18">#REF!</definedName>
    <definedName name="page51" localSheetId="19">#REF!</definedName>
    <definedName name="page51" localSheetId="28">#REF!</definedName>
    <definedName name="page51" localSheetId="0">#REF!</definedName>
    <definedName name="page51" localSheetId="2">#REF!</definedName>
    <definedName name="page51" localSheetId="32">#REF!</definedName>
    <definedName name="page51" localSheetId="44">#REF!</definedName>
    <definedName name="page51">#REF!</definedName>
    <definedName name="page52" localSheetId="26">#REF!</definedName>
    <definedName name="page52" localSheetId="18">#REF!</definedName>
    <definedName name="page52" localSheetId="19">#REF!</definedName>
    <definedName name="page52" localSheetId="28">#REF!</definedName>
    <definedName name="page52" localSheetId="0">#REF!</definedName>
    <definedName name="page52" localSheetId="2">#REF!</definedName>
    <definedName name="page52" localSheetId="32">#REF!</definedName>
    <definedName name="page52" localSheetId="44">#REF!</definedName>
    <definedName name="page52">#REF!</definedName>
    <definedName name="PAGE6" localSheetId="26">#REF!</definedName>
    <definedName name="PAGE6" localSheetId="18">#REF!</definedName>
    <definedName name="PAGE6" localSheetId="19">#REF!</definedName>
    <definedName name="PAGE6" localSheetId="28">#REF!</definedName>
    <definedName name="PAGE6" localSheetId="0">#REF!</definedName>
    <definedName name="PAGE6" localSheetId="2">#REF!</definedName>
    <definedName name="PAGE6" localSheetId="32">#REF!</definedName>
    <definedName name="PAGE6" localSheetId="44">#REF!</definedName>
    <definedName name="PAGE6">#REF!</definedName>
    <definedName name="PAGE6_6" localSheetId="26">#REF!</definedName>
    <definedName name="PAGE6_6" localSheetId="18">#REF!</definedName>
    <definedName name="PAGE6_6" localSheetId="19">#REF!</definedName>
    <definedName name="PAGE6_6" localSheetId="28">#REF!</definedName>
    <definedName name="PAGE6_6" localSheetId="0">#REF!</definedName>
    <definedName name="PAGE6_6" localSheetId="2">#REF!</definedName>
    <definedName name="PAGE6_6" localSheetId="32">#REF!</definedName>
    <definedName name="PAGE6_6" localSheetId="44">#REF!</definedName>
    <definedName name="PAGE6_6">#REF!</definedName>
    <definedName name="PAGE7" localSheetId="26">#REF!</definedName>
    <definedName name="PAGE7" localSheetId="18">#REF!</definedName>
    <definedName name="PAGE7" localSheetId="19">#REF!</definedName>
    <definedName name="PAGE7" localSheetId="28">#REF!</definedName>
    <definedName name="PAGE7" localSheetId="0">#REF!</definedName>
    <definedName name="PAGE7" localSheetId="2">#REF!</definedName>
    <definedName name="PAGE7" localSheetId="32">#REF!</definedName>
    <definedName name="PAGE7" localSheetId="44">#REF!</definedName>
    <definedName name="PAGE7">#REF!</definedName>
    <definedName name="PAGE7_6" localSheetId="26">#REF!</definedName>
    <definedName name="PAGE7_6" localSheetId="18">#REF!</definedName>
    <definedName name="PAGE7_6" localSheetId="19">#REF!</definedName>
    <definedName name="PAGE7_6" localSheetId="28">#REF!</definedName>
    <definedName name="PAGE7_6" localSheetId="0">#REF!</definedName>
    <definedName name="PAGE7_6" localSheetId="2">#REF!</definedName>
    <definedName name="PAGE7_6" localSheetId="32">#REF!</definedName>
    <definedName name="PAGE7_6" localSheetId="44">#REF!</definedName>
    <definedName name="PAGE7_6">#REF!</definedName>
    <definedName name="PAGE8" localSheetId="26">#REF!</definedName>
    <definedName name="PAGE8" localSheetId="18">#REF!</definedName>
    <definedName name="PAGE8" localSheetId="19">#REF!</definedName>
    <definedName name="PAGE8" localSheetId="28">#REF!</definedName>
    <definedName name="PAGE8" localSheetId="0">#REF!</definedName>
    <definedName name="PAGE8" localSheetId="2">#REF!</definedName>
    <definedName name="PAGE8" localSheetId="32">#REF!</definedName>
    <definedName name="PAGE8" localSheetId="44">#REF!</definedName>
    <definedName name="PAGE8">#REF!</definedName>
    <definedName name="PAGE8_6U1A" localSheetId="26">#REF!</definedName>
    <definedName name="PAGE8_6U1A" localSheetId="18">#REF!</definedName>
    <definedName name="PAGE8_6U1A" localSheetId="19">#REF!</definedName>
    <definedName name="PAGE8_6U1A" localSheetId="28">#REF!</definedName>
    <definedName name="PAGE8_6U1A" localSheetId="0">#REF!</definedName>
    <definedName name="PAGE8_6U1A" localSheetId="2">#REF!</definedName>
    <definedName name="PAGE8_6U1A" localSheetId="32">#REF!</definedName>
    <definedName name="PAGE8_6U1A" localSheetId="44">#REF!</definedName>
    <definedName name="PAGE8_6U1A">#REF!</definedName>
    <definedName name="PAGE8_6U1B" localSheetId="26">#REF!</definedName>
    <definedName name="PAGE8_6U1B" localSheetId="18">#REF!</definedName>
    <definedName name="PAGE8_6U1B" localSheetId="19">#REF!</definedName>
    <definedName name="PAGE8_6U1B" localSheetId="28">#REF!</definedName>
    <definedName name="PAGE8_6U1B" localSheetId="0">#REF!</definedName>
    <definedName name="PAGE8_6U1B" localSheetId="2">#REF!</definedName>
    <definedName name="PAGE8_6U1B" localSheetId="32">#REF!</definedName>
    <definedName name="PAGE8_6U1B" localSheetId="44">#REF!</definedName>
    <definedName name="PAGE8_6U1B">#REF!</definedName>
    <definedName name="PAGE8_6U2A" localSheetId="26">#REF!</definedName>
    <definedName name="PAGE8_6U2A" localSheetId="18">#REF!</definedName>
    <definedName name="PAGE8_6U2A" localSheetId="19">#REF!</definedName>
    <definedName name="PAGE8_6U2A" localSheetId="28">#REF!</definedName>
    <definedName name="PAGE8_6U2A" localSheetId="0">#REF!</definedName>
    <definedName name="PAGE8_6U2A" localSheetId="2">#REF!</definedName>
    <definedName name="PAGE8_6U2A" localSheetId="32">#REF!</definedName>
    <definedName name="PAGE8_6U2A" localSheetId="44">#REF!</definedName>
    <definedName name="PAGE8_6U2A">#REF!</definedName>
    <definedName name="PAGE8_6U2B" localSheetId="26">#REF!</definedName>
    <definedName name="PAGE8_6U2B" localSheetId="18">#REF!</definedName>
    <definedName name="PAGE8_6U2B" localSheetId="19">#REF!</definedName>
    <definedName name="PAGE8_6U2B" localSheetId="28">#REF!</definedName>
    <definedName name="PAGE8_6U2B" localSheetId="0">#REF!</definedName>
    <definedName name="PAGE8_6U2B" localSheetId="2">#REF!</definedName>
    <definedName name="PAGE8_6U2B" localSheetId="32">#REF!</definedName>
    <definedName name="PAGE8_6U2B" localSheetId="44">#REF!</definedName>
    <definedName name="PAGE8_6U2B">#REF!</definedName>
    <definedName name="PAGE8_6U3A" localSheetId="26">#REF!</definedName>
    <definedName name="PAGE8_6U3A" localSheetId="18">#REF!</definedName>
    <definedName name="PAGE8_6U3A" localSheetId="19">#REF!</definedName>
    <definedName name="PAGE8_6U3A" localSheetId="28">#REF!</definedName>
    <definedName name="PAGE8_6U3A" localSheetId="0">#REF!</definedName>
    <definedName name="PAGE8_6U3A" localSheetId="2">#REF!</definedName>
    <definedName name="PAGE8_6U3A" localSheetId="32">#REF!</definedName>
    <definedName name="PAGE8_6U3A" localSheetId="44">#REF!</definedName>
    <definedName name="PAGE8_6U3A">#REF!</definedName>
    <definedName name="PAGE8_6U3B" localSheetId="26">#REF!</definedName>
    <definedName name="PAGE8_6U3B" localSheetId="18">#REF!</definedName>
    <definedName name="PAGE8_6U3B" localSheetId="19">#REF!</definedName>
    <definedName name="PAGE8_6U3B" localSheetId="28">#REF!</definedName>
    <definedName name="PAGE8_6U3B" localSheetId="0">#REF!</definedName>
    <definedName name="PAGE8_6U3B" localSheetId="2">#REF!</definedName>
    <definedName name="PAGE8_6U3B" localSheetId="32">#REF!</definedName>
    <definedName name="PAGE8_6U3B" localSheetId="44">#REF!</definedName>
    <definedName name="PAGE8_6U3B">#REF!</definedName>
    <definedName name="PAGE9" localSheetId="26">#REF!</definedName>
    <definedName name="PAGE9" localSheetId="18">#REF!</definedName>
    <definedName name="PAGE9" localSheetId="19">#REF!</definedName>
    <definedName name="PAGE9" localSheetId="28">#REF!</definedName>
    <definedName name="PAGE9" localSheetId="0">#REF!</definedName>
    <definedName name="PAGE9" localSheetId="2">#REF!</definedName>
    <definedName name="PAGE9" localSheetId="32">#REF!</definedName>
    <definedName name="PAGE9" localSheetId="44">#REF!</definedName>
    <definedName name="PAGE9">#REF!</definedName>
    <definedName name="PAGE9_6" localSheetId="26">#REF!</definedName>
    <definedName name="PAGE9_6" localSheetId="18">#REF!</definedName>
    <definedName name="PAGE9_6" localSheetId="19">#REF!</definedName>
    <definedName name="PAGE9_6" localSheetId="28">#REF!</definedName>
    <definedName name="PAGE9_6" localSheetId="0">#REF!</definedName>
    <definedName name="PAGE9_6" localSheetId="2">#REF!</definedName>
    <definedName name="PAGE9_6" localSheetId="32">#REF!</definedName>
    <definedName name="PAGE9_6" localSheetId="44">#REF!</definedName>
    <definedName name="PAGE9_6">#REF!</definedName>
    <definedName name="Pop_Ratio" localSheetId="26">#REF!</definedName>
    <definedName name="Pop_Ratio" localSheetId="18">#REF!</definedName>
    <definedName name="Pop_Ratio" localSheetId="19">#REF!</definedName>
    <definedName name="Pop_Ratio" localSheetId="28">#REF!</definedName>
    <definedName name="Pop_Ratio" localSheetId="0">#REF!</definedName>
    <definedName name="Pop_Ratio" localSheetId="2">#REF!</definedName>
    <definedName name="Pop_Ratio" localSheetId="32">#REF!</definedName>
    <definedName name="Pop_Ratio" localSheetId="44">#REF!</definedName>
    <definedName name="Pop_Ratio">#REF!</definedName>
    <definedName name="PRF_1" localSheetId="26">#REF!</definedName>
    <definedName name="PRF_1" localSheetId="18">#REF!</definedName>
    <definedName name="PRF_1" localSheetId="19">#REF!</definedName>
    <definedName name="PRF_1" localSheetId="28">#REF!</definedName>
    <definedName name="PRF_1" localSheetId="0">#REF!</definedName>
    <definedName name="PRF_1" localSheetId="2">#REF!</definedName>
    <definedName name="PRF_1" localSheetId="32">#REF!</definedName>
    <definedName name="PRF_1" localSheetId="44">#REF!</definedName>
    <definedName name="PRF_1">#REF!</definedName>
    <definedName name="PRF_2_P1" localSheetId="26">#REF!</definedName>
    <definedName name="PRF_2_P1" localSheetId="18">#REF!</definedName>
    <definedName name="PRF_2_P1" localSheetId="19">#REF!</definedName>
    <definedName name="PRF_2_P1" localSheetId="28">#REF!</definedName>
    <definedName name="PRF_2_P1" localSheetId="0">#REF!</definedName>
    <definedName name="PRF_2_P1" localSheetId="2">#REF!</definedName>
    <definedName name="PRF_2_P1" localSheetId="32">#REF!</definedName>
    <definedName name="PRF_2_P1" localSheetId="44">#REF!</definedName>
    <definedName name="PRF_2_P1">#REF!</definedName>
    <definedName name="PRF_2_P2" localSheetId="26">#REF!</definedName>
    <definedName name="PRF_2_P2" localSheetId="18">#REF!</definedName>
    <definedName name="PRF_2_P2" localSheetId="19">#REF!</definedName>
    <definedName name="PRF_2_P2" localSheetId="28">#REF!</definedName>
    <definedName name="PRF_2_P2" localSheetId="0">#REF!</definedName>
    <definedName name="PRF_2_P2" localSheetId="2">#REF!</definedName>
    <definedName name="PRF_2_P2" localSheetId="32">#REF!</definedName>
    <definedName name="PRF_2_P2" localSheetId="44">#REF!</definedName>
    <definedName name="PRF_2_P2">#REF!</definedName>
    <definedName name="PRF_3_AN1" localSheetId="26">#REF!</definedName>
    <definedName name="PRF_3_AN1" localSheetId="18">#REF!</definedName>
    <definedName name="PRF_3_AN1" localSheetId="19">#REF!</definedName>
    <definedName name="PRF_3_AN1" localSheetId="28">#REF!</definedName>
    <definedName name="PRF_3_AN1" localSheetId="0">#REF!</definedName>
    <definedName name="PRF_3_AN1" localSheetId="2">#REF!</definedName>
    <definedName name="PRF_3_AN1" localSheetId="32">#REF!</definedName>
    <definedName name="PRF_3_AN1" localSheetId="44">#REF!</definedName>
    <definedName name="PRF_3_AN1">#REF!</definedName>
    <definedName name="PRF_3_AN2" localSheetId="26">#REF!</definedName>
    <definedName name="PRF_3_AN2" localSheetId="18">#REF!</definedName>
    <definedName name="PRF_3_AN2" localSheetId="19">#REF!</definedName>
    <definedName name="PRF_3_AN2" localSheetId="28">#REF!</definedName>
    <definedName name="PRF_3_AN2" localSheetId="0">#REF!</definedName>
    <definedName name="PRF_3_AN2" localSheetId="2">#REF!</definedName>
    <definedName name="PRF_3_AN2" localSheetId="32">#REF!</definedName>
    <definedName name="PRF_3_AN2" localSheetId="44">#REF!</definedName>
    <definedName name="PRF_3_AN2">#REF!</definedName>
    <definedName name="PRF_3_AN3" localSheetId="26">#REF!</definedName>
    <definedName name="PRF_3_AN3" localSheetId="18">#REF!</definedName>
    <definedName name="PRF_3_AN3" localSheetId="19">#REF!</definedName>
    <definedName name="PRF_3_AN3" localSheetId="28">#REF!</definedName>
    <definedName name="PRF_3_AN3" localSheetId="0">#REF!</definedName>
    <definedName name="PRF_3_AN3" localSheetId="2">#REF!</definedName>
    <definedName name="PRF_3_AN3" localSheetId="32">#REF!</definedName>
    <definedName name="PRF_3_AN3" localSheetId="44">#REF!</definedName>
    <definedName name="PRF_3_AN3">#REF!</definedName>
    <definedName name="_xlnm.Print_Area" localSheetId="3">#REF!</definedName>
    <definedName name="_xlnm.Print_Area" localSheetId="26">#REF!</definedName>
    <definedName name="_xlnm.Print_Area" localSheetId="5">'F1 '!$B$1:$U$34</definedName>
    <definedName name="_xlnm.Print_Area" localSheetId="30">'F10'!$B$1:$R$20</definedName>
    <definedName name="_xlnm.Print_Area" localSheetId="31">'F11'!$B$1:$T$17</definedName>
    <definedName name="_xlnm.Print_Area" localSheetId="33">'F12'!$B$1:$J$74</definedName>
    <definedName name="_xlnm.Print_Area" localSheetId="43">'F13'!$B$1:$J$65</definedName>
    <definedName name="_xlnm.Print_Area" localSheetId="6">'F2'!$B$1:$U$29</definedName>
    <definedName name="_xlnm.Print_Area" localSheetId="7">'F2.1 '!$B$1:$AM$71</definedName>
    <definedName name="_xlnm.Print_Area" localSheetId="8">'F2.2'!$B$1:$N$36</definedName>
    <definedName name="_xlnm.Print_Area" localSheetId="9">'F2.3'!$B$2:$H$74</definedName>
    <definedName name="_xlnm.Print_Area" localSheetId="10">'F2.4'!$B$1:$H$40</definedName>
    <definedName name="_xlnm.Print_Area" localSheetId="11">'F2.5'!$B$1:$H$23</definedName>
    <definedName name="_xlnm.Print_Area" localSheetId="13">'F3'!$B$1:$T$19</definedName>
    <definedName name="_xlnm.Print_Area" localSheetId="14">'F3.1'!$B$2:$S$85,'F3.1'!$B$89:$K$172</definedName>
    <definedName name="_xlnm.Print_Area" localSheetId="15">'F3.2'!$B$2:$AQ$92</definedName>
    <definedName name="_xlnm.Print_Area" localSheetId="16">'F3.3'!$B$1:$O$87</definedName>
    <definedName name="_xlnm.Print_Area" localSheetId="17">'F4 '!$B$1:$S$108</definedName>
    <definedName name="_xlnm.Print_Area" localSheetId="18">'F4.1 (E) Exisiting'!$B$2:$W$108</definedName>
    <definedName name="_xlnm.Print_Area" localSheetId="19">'F4.1 (N) New'!$B$2:$AB$68</definedName>
    <definedName name="_xlnm.Print_Area" localSheetId="23">'F5'!$B$2:$R$120</definedName>
    <definedName name="_xlnm.Print_Area" localSheetId="24">'F6'!$B$1:$J$45</definedName>
    <definedName name="_xlnm.Print_Area" localSheetId="25">'F7'!$B$1:$L$65</definedName>
    <definedName name="_xlnm.Print_Area" localSheetId="27">'F8'!$B$1:$T$24</definedName>
    <definedName name="_xlnm.Print_Area" localSheetId="29">'F9'!$B$1:$J$32</definedName>
    <definedName name="_xlnm.Print_Area" localSheetId="28">#REF!</definedName>
    <definedName name="_xlnm.Print_Area" localSheetId="4">Index!$B$1:$D$44</definedName>
    <definedName name="_xlnm.Print_Area" localSheetId="0">#REF!</definedName>
    <definedName name="_xlnm.Print_Area" localSheetId="2">#REF!</definedName>
    <definedName name="_xlnm.Print_Area" localSheetId="32">#REF!</definedName>
    <definedName name="_xlnm.Print_Area" localSheetId="44">#REF!</definedName>
    <definedName name="_xlnm.Print_Area">#REF!</definedName>
    <definedName name="PRINT_AREA_MI" localSheetId="26">#REF!</definedName>
    <definedName name="PRINT_AREA_MI" localSheetId="18">#REF!</definedName>
    <definedName name="PRINT_AREA_MI" localSheetId="19">#REF!</definedName>
    <definedName name="PRINT_AREA_MI" localSheetId="28">#REF!</definedName>
    <definedName name="PRINT_AREA_MI" localSheetId="0">#REF!</definedName>
    <definedName name="PRINT_AREA_MI" localSheetId="2">#REF!</definedName>
    <definedName name="PRINT_AREA_MI" localSheetId="32">#REF!</definedName>
    <definedName name="PRINT_AREA_MI" localSheetId="44">#REF!</definedName>
    <definedName name="PRINT_AREA_MI">#REF!</definedName>
    <definedName name="_xlnm.Print_Titles" localSheetId="7">'F2.1 '!$B:$C,'F2.1 '!$1:$5</definedName>
    <definedName name="_xlnm.Print_Titles" localSheetId="15">'F3.2'!$B:$C,'F3.2'!$2:$5</definedName>
    <definedName name="_xlnm.Print_Titles" localSheetId="17">'F4 '!$2:$4</definedName>
    <definedName name="_xlnm.Print_Titles" localSheetId="18">'F4.1 (E) Exisiting'!$2:$4</definedName>
    <definedName name="_xlnm.Print_Titles" localSheetId="19">'F4.1 (N) New'!$2:$4</definedName>
    <definedName name="q" localSheetId="3">#REF!,#REF!</definedName>
    <definedName name="q" localSheetId="26">#REF!,#REF!</definedName>
    <definedName name="q" localSheetId="28">#REF!,#REF!</definedName>
    <definedName name="q" localSheetId="0">#REF!,#REF!</definedName>
    <definedName name="q" localSheetId="2">#REF!,#REF!</definedName>
    <definedName name="q" localSheetId="32">#REF!,#REF!</definedName>
    <definedName name="q" localSheetId="44">#REF!,#REF!</definedName>
    <definedName name="q">#REF!,#REF!</definedName>
    <definedName name="S" localSheetId="3">#REF!</definedName>
    <definedName name="S" localSheetId="26">#REF!</definedName>
    <definedName name="S" localSheetId="18">#REF!</definedName>
    <definedName name="S" localSheetId="19">#REF!</definedName>
    <definedName name="S" localSheetId="28">#REF!</definedName>
    <definedName name="S" localSheetId="0">#REF!</definedName>
    <definedName name="S" localSheetId="2">#REF!</definedName>
    <definedName name="S" localSheetId="32">#REF!</definedName>
    <definedName name="S" localSheetId="44">#REF!</definedName>
    <definedName name="S">#REF!</definedName>
    <definedName name="sahshs" localSheetId="26">#REF!</definedName>
    <definedName name="sahshs" localSheetId="0">#REF!</definedName>
    <definedName name="sahshs" localSheetId="32">#REF!</definedName>
    <definedName name="sahshs" localSheetId="44">#REF!</definedName>
    <definedName name="sahshs">#REF!</definedName>
    <definedName name="sdsfszsfzs" localSheetId="26">#REF!,#REF!</definedName>
    <definedName name="sdsfszsfzs" localSheetId="0">#REF!,#REF!</definedName>
    <definedName name="sdsfszsfzs" localSheetId="2">#REF!,#REF!</definedName>
    <definedName name="sdsfszsfzs" localSheetId="32">#REF!,#REF!</definedName>
    <definedName name="sdsfszsfzs" localSheetId="44">#REF!,#REF!</definedName>
    <definedName name="sdsfszsfzs">#REF!,#REF!</definedName>
    <definedName name="SECOAL" localSheetId="26">#REF!</definedName>
    <definedName name="SECOAL" localSheetId="18">#REF!</definedName>
    <definedName name="SECOAL" localSheetId="19">#REF!</definedName>
    <definedName name="SECOAL" localSheetId="28">#REF!</definedName>
    <definedName name="SECOAL" localSheetId="0">#REF!</definedName>
    <definedName name="SECOAL" localSheetId="2">#REF!</definedName>
    <definedName name="SECOAL" localSheetId="32">#REF!</definedName>
    <definedName name="SECOAL" localSheetId="44">#REF!</definedName>
    <definedName name="SECOAL">#REF!</definedName>
    <definedName name="SEOREP" localSheetId="26">#REF!</definedName>
    <definedName name="SEOREP" localSheetId="18">#REF!</definedName>
    <definedName name="SEOREP" localSheetId="19">#REF!</definedName>
    <definedName name="SEOREP" localSheetId="28">#REF!</definedName>
    <definedName name="SEOREP" localSheetId="0">#REF!</definedName>
    <definedName name="SEOREP" localSheetId="2">#REF!</definedName>
    <definedName name="SEOREP" localSheetId="32">#REF!</definedName>
    <definedName name="SEOREP" localSheetId="44">#REF!</definedName>
    <definedName name="SEOREP">#REF!</definedName>
    <definedName name="SEREPORT" localSheetId="26">#REF!</definedName>
    <definedName name="SEREPORT" localSheetId="18">#REF!</definedName>
    <definedName name="SEREPORT" localSheetId="19">#REF!</definedName>
    <definedName name="SEREPORT" localSheetId="28">#REF!</definedName>
    <definedName name="SEREPORT" localSheetId="0">#REF!</definedName>
    <definedName name="SEREPORT" localSheetId="2">#REF!</definedName>
    <definedName name="SEREPORT" localSheetId="32">#REF!</definedName>
    <definedName name="SEREPORT" localSheetId="44">#REF!</definedName>
    <definedName name="SEREPORT">#REF!</definedName>
    <definedName name="shft1" localSheetId="28">#REF!</definedName>
    <definedName name="shft1" localSheetId="44">#REF!</definedName>
    <definedName name="shft1">#REF!</definedName>
    <definedName name="shftI" localSheetId="3">#REF!</definedName>
    <definedName name="shftI" localSheetId="26">#REF!</definedName>
    <definedName name="shftI" localSheetId="28">#REF!</definedName>
    <definedName name="shftI" localSheetId="0">#REF!</definedName>
    <definedName name="shftI" localSheetId="2">#REF!</definedName>
    <definedName name="shftI" localSheetId="32">#REF!</definedName>
    <definedName name="shftI" localSheetId="44">#REF!</definedName>
    <definedName name="shftI">#REF!</definedName>
    <definedName name="shshshsh" localSheetId="26">#REF!,#REF!</definedName>
    <definedName name="shshshsh" localSheetId="0">#REF!,#REF!</definedName>
    <definedName name="shshshsh" localSheetId="2">#REF!,#REF!</definedName>
    <definedName name="shshshsh" localSheetId="32">#REF!,#REF!</definedName>
    <definedName name="shshshsh" localSheetId="44">#REF!,#REF!</definedName>
    <definedName name="shshshsh">#REF!,#REF!</definedName>
    <definedName name="t" localSheetId="3">#REF!</definedName>
    <definedName name="t" localSheetId="26">#REF!</definedName>
    <definedName name="t" localSheetId="18">#REF!</definedName>
    <definedName name="t" localSheetId="19">#REF!</definedName>
    <definedName name="t" localSheetId="28">#REF!</definedName>
    <definedName name="t" localSheetId="0">#REF!</definedName>
    <definedName name="t" localSheetId="2">#REF!</definedName>
    <definedName name="t" localSheetId="32">#REF!</definedName>
    <definedName name="t" localSheetId="44">#REF!</definedName>
    <definedName name="t">#REF!</definedName>
    <definedName name="TaxPaid10" localSheetId="28">#REF!</definedName>
    <definedName name="TaxPaid10" localSheetId="44">#REF!</definedName>
    <definedName name="TaxPaid10">#REF!</definedName>
    <definedName name="TaxRate11" localSheetId="28">#REF!</definedName>
    <definedName name="TaxRate11" localSheetId="44">#REF!</definedName>
    <definedName name="TaxRate11">#REF!</definedName>
    <definedName name="Taxrate12" localSheetId="3">#REF!</definedName>
    <definedName name="Taxrate12" localSheetId="26">#REF!</definedName>
    <definedName name="Taxrate12" localSheetId="18">#REF!</definedName>
    <definedName name="Taxrate12" localSheetId="19">#REF!</definedName>
    <definedName name="Taxrate12" localSheetId="28">#REF!</definedName>
    <definedName name="Taxrate12" localSheetId="0">#REF!</definedName>
    <definedName name="Taxrate12" localSheetId="2">#REF!</definedName>
    <definedName name="Taxrate12" localSheetId="32">#REF!</definedName>
    <definedName name="Taxrate12" localSheetId="44">#REF!</definedName>
    <definedName name="Taxrate12">#REF!</definedName>
    <definedName name="TotalRoE10" localSheetId="28">#REF!</definedName>
    <definedName name="TotalRoE10" localSheetId="44">#REF!</definedName>
    <definedName name="TotalRoE10">#REF!</definedName>
    <definedName name="tripping" localSheetId="3">#REF!</definedName>
    <definedName name="tripping" localSheetId="26">#REF!</definedName>
    <definedName name="tripping" localSheetId="18">#REF!</definedName>
    <definedName name="tripping" localSheetId="19">#REF!</definedName>
    <definedName name="tripping" localSheetId="28">#REF!</definedName>
    <definedName name="tripping" localSheetId="0">#REF!</definedName>
    <definedName name="tripping" localSheetId="2">#REF!</definedName>
    <definedName name="tripping" localSheetId="32">#REF!</definedName>
    <definedName name="tripping" localSheetId="44">#REF!</definedName>
    <definedName name="tripping">#REF!</definedName>
    <definedName name="uNIT1" localSheetId="26">#REF!</definedName>
    <definedName name="uNIT1" localSheetId="18">#REF!</definedName>
    <definedName name="uNIT1" localSheetId="19">#REF!</definedName>
    <definedName name="uNIT1" localSheetId="28">#REF!</definedName>
    <definedName name="uNIT1" localSheetId="0">#REF!</definedName>
    <definedName name="uNIT1" localSheetId="2">#REF!</definedName>
    <definedName name="uNIT1" localSheetId="32">#REF!</definedName>
    <definedName name="uNIT1" localSheetId="44">#REF!</definedName>
    <definedName name="uNIT1">#REF!</definedName>
    <definedName name="uNIT2" localSheetId="26">#REF!</definedName>
    <definedName name="uNIT2" localSheetId="18">#REF!</definedName>
    <definedName name="uNIT2" localSheetId="19">#REF!</definedName>
    <definedName name="uNIT2" localSheetId="28">#REF!</definedName>
    <definedName name="uNIT2" localSheetId="0">#REF!</definedName>
    <definedName name="uNIT2" localSheetId="2">#REF!</definedName>
    <definedName name="uNIT2" localSheetId="32">#REF!</definedName>
    <definedName name="uNIT2" localSheetId="44">#REF!</definedName>
    <definedName name="uNIT2">#REF!</definedName>
    <definedName name="uNIT3" localSheetId="26">#REF!</definedName>
    <definedName name="uNIT3" localSheetId="18">#REF!</definedName>
    <definedName name="uNIT3" localSheetId="19">#REF!</definedName>
    <definedName name="uNIT3" localSheetId="28">#REF!</definedName>
    <definedName name="uNIT3" localSheetId="0">#REF!</definedName>
    <definedName name="uNIT3" localSheetId="2">#REF!</definedName>
    <definedName name="uNIT3" localSheetId="32">#REF!</definedName>
    <definedName name="uNIT3" localSheetId="44">#REF!</definedName>
    <definedName name="uNIT3">#REF!</definedName>
    <definedName name="W" localSheetId="26">#REF!</definedName>
    <definedName name="W" localSheetId="18">#REF!</definedName>
    <definedName name="W" localSheetId="19">#REF!</definedName>
    <definedName name="W" localSheetId="28">#REF!</definedName>
    <definedName name="W" localSheetId="0">#REF!</definedName>
    <definedName name="W" localSheetId="2">#REF!</definedName>
    <definedName name="W" localSheetId="32">#REF!</definedName>
    <definedName name="W" localSheetId="44">#REF!</definedName>
    <definedName name="W">#REF!</definedName>
    <definedName name="WEEK_1A" localSheetId="26">#REF!</definedName>
    <definedName name="WEEK_1A" localSheetId="18">#REF!</definedName>
    <definedName name="WEEK_1A" localSheetId="19">#REF!</definedName>
    <definedName name="WEEK_1A" localSheetId="28">#REF!</definedName>
    <definedName name="WEEK_1A" localSheetId="0">#REF!</definedName>
    <definedName name="WEEK_1A" localSheetId="2">#REF!</definedName>
    <definedName name="WEEK_1A" localSheetId="32">#REF!</definedName>
    <definedName name="WEEK_1A" localSheetId="44">#REF!</definedName>
    <definedName name="WEEK_1A">#REF!</definedName>
    <definedName name="WEEK_1B" localSheetId="26">#REF!</definedName>
    <definedName name="WEEK_1B" localSheetId="18">#REF!</definedName>
    <definedName name="WEEK_1B" localSheetId="19">#REF!</definedName>
    <definedName name="WEEK_1B" localSheetId="28">#REF!</definedName>
    <definedName name="WEEK_1B" localSheetId="0">#REF!</definedName>
    <definedName name="WEEK_1B" localSheetId="2">#REF!</definedName>
    <definedName name="WEEK_1B" localSheetId="32">#REF!</definedName>
    <definedName name="WEEK_1B" localSheetId="44">#REF!</definedName>
    <definedName name="WEEK_1B">#REF!</definedName>
    <definedName name="WEEK_2A" localSheetId="26">#REF!</definedName>
    <definedName name="WEEK_2A" localSheetId="18">#REF!</definedName>
    <definedName name="WEEK_2A" localSheetId="19">#REF!</definedName>
    <definedName name="WEEK_2A" localSheetId="28">#REF!</definedName>
    <definedName name="WEEK_2A" localSheetId="0">#REF!</definedName>
    <definedName name="WEEK_2A" localSheetId="2">#REF!</definedName>
    <definedName name="WEEK_2A" localSheetId="32">#REF!</definedName>
    <definedName name="WEEK_2A" localSheetId="44">#REF!</definedName>
    <definedName name="WEEK_2A">#REF!</definedName>
    <definedName name="WEEK_2B" localSheetId="26">#REF!</definedName>
    <definedName name="WEEK_2B" localSheetId="18">#REF!</definedName>
    <definedName name="WEEK_2B" localSheetId="19">#REF!</definedName>
    <definedName name="WEEK_2B" localSheetId="28">#REF!</definedName>
    <definedName name="WEEK_2B" localSheetId="0">#REF!</definedName>
    <definedName name="WEEK_2B" localSheetId="2">#REF!</definedName>
    <definedName name="WEEK_2B" localSheetId="32">#REF!</definedName>
    <definedName name="WEEK_2B" localSheetId="44">#REF!</definedName>
    <definedName name="WEEK_2B">#REF!</definedName>
    <definedName name="Working_capital_Rate_of_Interest_for_FY_10_11" localSheetId="3">#REF!</definedName>
    <definedName name="Working_capital_Rate_of_Interest_for_FY_10_11" localSheetId="26">#REF!</definedName>
    <definedName name="Working_capital_Rate_of_Interest_for_FY_10_11" localSheetId="28">#REF!</definedName>
    <definedName name="Working_capital_Rate_of_Interest_for_FY_10_11" localSheetId="0">#REF!</definedName>
    <definedName name="Working_capital_Rate_of_Interest_for_FY_10_11" localSheetId="2">#REF!</definedName>
    <definedName name="Working_capital_Rate_of_Interest_for_FY_10_11" localSheetId="32">#REF!</definedName>
    <definedName name="Working_capital_Rate_of_Interest_for_FY_10_11" localSheetId="44">#REF!</definedName>
    <definedName name="Working_capital_Rate_of_Interest_for_FY_10_11">#REF!</definedName>
    <definedName name="X1_" localSheetId="3">#REF!</definedName>
    <definedName name="X1_" localSheetId="26">#REF!</definedName>
    <definedName name="X1_" localSheetId="18">#REF!</definedName>
    <definedName name="X1_" localSheetId="19">#REF!</definedName>
    <definedName name="X1_" localSheetId="28">#REF!</definedName>
    <definedName name="X1_" localSheetId="0">#REF!</definedName>
    <definedName name="X1_" localSheetId="2">#REF!</definedName>
    <definedName name="X1_" localSheetId="32">#REF!</definedName>
    <definedName name="X1_" localSheetId="44">#REF!</definedName>
    <definedName name="X1_">#REF!</definedName>
    <definedName name="X11__?___QUIT_" localSheetId="26">#REF!</definedName>
    <definedName name="X11__?___QUIT_" localSheetId="18">#REF!</definedName>
    <definedName name="X11__?___QUIT_" localSheetId="19">#REF!</definedName>
    <definedName name="X11__?___QUIT_" localSheetId="28">#REF!</definedName>
    <definedName name="X11__?___QUIT_" localSheetId="0">#REF!</definedName>
    <definedName name="X11__?___QUIT_" localSheetId="2">#REF!</definedName>
    <definedName name="X11__?___QUIT_" localSheetId="32">#REF!</definedName>
    <definedName name="X11__?___QUIT_" localSheetId="44">#REF!</definedName>
    <definedName name="X11__?___QUIT_">#REF!</definedName>
    <definedName name="xcxcxcc" localSheetId="26">#REF!</definedName>
    <definedName name="xcxcxcc" localSheetId="28">#REF!</definedName>
    <definedName name="xcxcxcc" localSheetId="0">#REF!</definedName>
    <definedName name="xcxcxcc" localSheetId="2">#REF!</definedName>
    <definedName name="xcxcxcc" localSheetId="32">#REF!</definedName>
    <definedName name="xcxcxcc" localSheetId="44">#REF!</definedName>
    <definedName name="xcxcxcc">#REF!</definedName>
    <definedName name="xcxvxv" localSheetId="26">#REF!</definedName>
    <definedName name="xcxvxv" localSheetId="0">#REF!</definedName>
    <definedName name="xcxvxv" localSheetId="32">#REF!</definedName>
    <definedName name="xcxvxv" localSheetId="44">#REF!</definedName>
    <definedName name="xcxvxv">#REF!</definedName>
    <definedName name="xczczczc" localSheetId="26">#REF!</definedName>
    <definedName name="xczczczc" localSheetId="28">#REF!</definedName>
    <definedName name="xczczczc" localSheetId="0">#REF!</definedName>
    <definedName name="xczczczc" localSheetId="2">#REF!</definedName>
    <definedName name="xczczczc" localSheetId="32">#REF!</definedName>
    <definedName name="xczczczc" localSheetId="44">#REF!</definedName>
    <definedName name="xczczczc">#REF!</definedName>
    <definedName name="xczxzxz" localSheetId="26">#REF!,#REF!</definedName>
    <definedName name="xczxzxz" localSheetId="0">#REF!,#REF!</definedName>
    <definedName name="xczxzxz" localSheetId="2">#REF!,#REF!</definedName>
    <definedName name="xczxzxz" localSheetId="32">#REF!,#REF!</definedName>
    <definedName name="xczxzxz" localSheetId="44">#REF!,#REF!</definedName>
    <definedName name="xczxzxz">#REF!,#REF!</definedName>
    <definedName name="xfzdsfzsf" localSheetId="26">#REF!</definedName>
    <definedName name="xfzdsfzsf" localSheetId="28">#REF!</definedName>
    <definedName name="xfzdsfzsf" localSheetId="0">#REF!</definedName>
    <definedName name="xfzdsfzsf" localSheetId="2">#REF!</definedName>
    <definedName name="xfzdsfzsf" localSheetId="32">#REF!</definedName>
    <definedName name="xfzdsfzsf" localSheetId="44">#REF!</definedName>
    <definedName name="xfzdsfzsf">#REF!</definedName>
    <definedName name="xxxx" localSheetId="26" hidden="1">#REF!</definedName>
    <definedName name="xxxx" localSheetId="31" hidden="1">#REF!</definedName>
    <definedName name="xxxx" localSheetId="33" hidden="1">#REF!</definedName>
    <definedName name="xxxx" localSheetId="13" hidden="1">#REF!</definedName>
    <definedName name="xxxx" localSheetId="18" hidden="1">#REF!</definedName>
    <definedName name="xxxx" localSheetId="19" hidden="1">#REF!</definedName>
    <definedName name="xxxx" localSheetId="28" hidden="1">#REF!</definedName>
    <definedName name="xxxx" localSheetId="0" hidden="1">#REF!</definedName>
    <definedName name="xxxx" localSheetId="2" hidden="1">#REF!</definedName>
    <definedName name="xxxx" localSheetId="32" hidden="1">#REF!</definedName>
    <definedName name="xxxx" localSheetId="44" hidden="1">#REF!</definedName>
    <definedName name="xxxx" hidden="1">#REF!</definedName>
    <definedName name="xzxzxcxc" localSheetId="26">#REF!</definedName>
    <definedName name="xzxzxcxc" localSheetId="28">#REF!</definedName>
    <definedName name="xzxzxcxc" localSheetId="0">#REF!</definedName>
    <definedName name="xzxzxcxc" localSheetId="2">#REF!</definedName>
    <definedName name="xzxzxcxc" localSheetId="32">#REF!</definedName>
    <definedName name="xzxzxcxc" localSheetId="44">#REF!</definedName>
    <definedName name="xzxzxcxc">#REF!</definedName>
    <definedName name="YEAR" localSheetId="26">#REF!</definedName>
    <definedName name="YEAR" localSheetId="17">#REF!</definedName>
    <definedName name="YEAR" localSheetId="18">#REF!</definedName>
    <definedName name="YEAR" localSheetId="19">#REF!</definedName>
    <definedName name="YEAR" localSheetId="28">#REF!</definedName>
    <definedName name="YEAR" localSheetId="0">#REF!</definedName>
    <definedName name="YEAR" localSheetId="2">#REF!</definedName>
    <definedName name="YEAR" localSheetId="32">#REF!</definedName>
    <definedName name="YEAR" localSheetId="44">#REF!</definedName>
    <definedName name="YEAR">#REF!</definedName>
    <definedName name="Year1" localSheetId="26">#REF!</definedName>
    <definedName name="Year1" localSheetId="18">#REF!</definedName>
    <definedName name="Year1" localSheetId="19">#REF!</definedName>
    <definedName name="Year1" localSheetId="28">#REF!</definedName>
    <definedName name="Year1" localSheetId="0">#REF!</definedName>
    <definedName name="Year1" localSheetId="2">#REF!</definedName>
    <definedName name="Year1" localSheetId="32">#REF!</definedName>
    <definedName name="Year1" localSheetId="44">#REF!</definedName>
    <definedName name="Year1">#REF!</definedName>
    <definedName name="year2011" localSheetId="26">#REF!</definedName>
    <definedName name="year2011" localSheetId="28">#REF!</definedName>
    <definedName name="year2011" localSheetId="0">#REF!</definedName>
    <definedName name="year2011" localSheetId="2">#REF!</definedName>
    <definedName name="year2011" localSheetId="32">#REF!</definedName>
    <definedName name="year2011" localSheetId="44">#REF!</definedName>
    <definedName name="year2011">#REF!</definedName>
    <definedName name="ygshjshua" localSheetId="26">#REF!</definedName>
    <definedName name="ygshjshua" localSheetId="28">#REF!</definedName>
    <definedName name="ygshjshua" localSheetId="0">#REF!</definedName>
    <definedName name="ygshjshua" localSheetId="2">#REF!</definedName>
    <definedName name="ygshjshua" localSheetId="32">#REF!</definedName>
    <definedName name="ygshjshua" localSheetId="44">#REF!</definedName>
    <definedName name="ygshjshua">#REF!</definedName>
    <definedName name="zbhh" localSheetId="26">#REF!</definedName>
    <definedName name="zbhh" localSheetId="28">#REF!</definedName>
    <definedName name="zbhh" localSheetId="0">#REF!</definedName>
    <definedName name="zbhh" localSheetId="2">#REF!</definedName>
    <definedName name="zbhh" localSheetId="32">#REF!</definedName>
    <definedName name="zbhh" localSheetId="44">#REF!</definedName>
    <definedName name="zbhh">#REF!</definedName>
    <definedName name="zzxxx" localSheetId="26">#REF!,#REF!</definedName>
    <definedName name="zzxxx" localSheetId="0">#REF!,#REF!</definedName>
    <definedName name="zzxxx" localSheetId="2">#REF!,#REF!</definedName>
    <definedName name="zzxxx" localSheetId="32">#REF!,#REF!</definedName>
    <definedName name="zzxxx" localSheetId="44">#REF!,#REF!</definedName>
    <definedName name="zzxxx">#REF!,#REF!</definedName>
  </definedNames>
  <calcPr calcId="191029" iterate="1"/>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9" i="69" l="1"/>
  <c r="D30" i="69"/>
  <c r="E29" i="69"/>
  <c r="D31" i="69"/>
  <c r="E27" i="69" s="1"/>
  <c r="E31" i="69" s="1"/>
  <c r="F27" i="69" s="1"/>
  <c r="F30" i="69" s="1"/>
  <c r="F28" i="69" s="1"/>
  <c r="F31" i="69"/>
  <c r="J9" i="65"/>
  <c r="G9" i="65"/>
  <c r="L84" i="74"/>
  <c r="M84" i="74"/>
  <c r="O84" i="74"/>
  <c r="N84" i="74"/>
  <c r="K84" i="74"/>
  <c r="J84" i="74"/>
  <c r="J78" i="74"/>
  <c r="K78" i="74" s="1"/>
  <c r="N78" i="74" s="1"/>
  <c r="O78" i="74" s="1"/>
  <c r="J74" i="74"/>
  <c r="J67" i="74"/>
  <c r="O60" i="74"/>
  <c r="O59" i="74"/>
  <c r="O58" i="74"/>
  <c r="O57" i="74"/>
  <c r="O56" i="74"/>
  <c r="O55" i="74"/>
  <c r="O54" i="74"/>
  <c r="O53" i="74"/>
  <c r="N60" i="74"/>
  <c r="N59" i="74"/>
  <c r="N58" i="74"/>
  <c r="N57" i="74"/>
  <c r="N56" i="74"/>
  <c r="N55" i="74"/>
  <c r="N54" i="74"/>
  <c r="N53" i="74"/>
  <c r="K60" i="74"/>
  <c r="K59" i="74"/>
  <c r="K58" i="74"/>
  <c r="K57" i="74"/>
  <c r="K56" i="74"/>
  <c r="K55" i="74"/>
  <c r="K54" i="74"/>
  <c r="K53" i="74"/>
  <c r="J60" i="74"/>
  <c r="J59" i="74"/>
  <c r="J58" i="74"/>
  <c r="J57" i="74"/>
  <c r="J56" i="74"/>
  <c r="J55" i="74"/>
  <c r="J54" i="74"/>
  <c r="J53" i="74"/>
  <c r="F84" i="74"/>
  <c r="F78" i="74"/>
  <c r="F74" i="74"/>
  <c r="F67" i="74"/>
  <c r="F60" i="74"/>
  <c r="F59" i="74"/>
  <c r="F58" i="74"/>
  <c r="F57" i="74"/>
  <c r="F56" i="74"/>
  <c r="F55" i="74"/>
  <c r="F54" i="74"/>
  <c r="F53" i="74"/>
  <c r="E78" i="74"/>
  <c r="D78" i="74"/>
  <c r="E74" i="74"/>
  <c r="D74" i="74"/>
  <c r="E67" i="74"/>
  <c r="D67" i="74"/>
  <c r="E60" i="74"/>
  <c r="E59" i="74"/>
  <c r="E58" i="74"/>
  <c r="E57" i="74"/>
  <c r="E56" i="74"/>
  <c r="E55" i="74"/>
  <c r="E54" i="74"/>
  <c r="E53" i="74"/>
  <c r="D60" i="74"/>
  <c r="D59" i="74"/>
  <c r="D58" i="74"/>
  <c r="D57" i="74"/>
  <c r="D56" i="74"/>
  <c r="D55" i="74"/>
  <c r="D54" i="74"/>
  <c r="D53" i="74"/>
  <c r="D64" i="74"/>
  <c r="D63" i="74"/>
  <c r="E62" i="74"/>
  <c r="D62" i="74"/>
  <c r="E61" i="74"/>
  <c r="D61" i="74"/>
  <c r="C78" i="74"/>
  <c r="C74" i="74"/>
  <c r="C67" i="74"/>
  <c r="C60" i="74"/>
  <c r="C59" i="74"/>
  <c r="C58" i="74"/>
  <c r="C57" i="74"/>
  <c r="C56" i="74"/>
  <c r="C55" i="74"/>
  <c r="C54" i="74"/>
  <c r="C53" i="74"/>
  <c r="AO89" i="73"/>
  <c r="AN89" i="73"/>
  <c r="AM89" i="73"/>
  <c r="AL89" i="73"/>
  <c r="AK89" i="73"/>
  <c r="W89" i="73"/>
  <c r="V89" i="73"/>
  <c r="U89" i="73"/>
  <c r="T89" i="73"/>
  <c r="S89" i="73"/>
  <c r="V83" i="73"/>
  <c r="AN83" i="73" s="1"/>
  <c r="U79" i="73"/>
  <c r="T72" i="73"/>
  <c r="AL72" i="73" s="1"/>
  <c r="AM79" i="73"/>
  <c r="AK65" i="73"/>
  <c r="AK64" i="73"/>
  <c r="AK63" i="73"/>
  <c r="AK62" i="73"/>
  <c r="AK61" i="73"/>
  <c r="AK60" i="73"/>
  <c r="AK59" i="73"/>
  <c r="AK58" i="73"/>
  <c r="S65" i="73"/>
  <c r="S64" i="73"/>
  <c r="S63" i="73"/>
  <c r="S62" i="73"/>
  <c r="S61" i="73"/>
  <c r="S60" i="73"/>
  <c r="S59" i="73"/>
  <c r="S58" i="73"/>
  <c r="L83" i="73"/>
  <c r="L79" i="73"/>
  <c r="L72" i="73"/>
  <c r="L65" i="73"/>
  <c r="L64" i="73"/>
  <c r="L63" i="73"/>
  <c r="L62" i="73"/>
  <c r="L61" i="73"/>
  <c r="L60" i="73"/>
  <c r="L59" i="73"/>
  <c r="L58" i="73"/>
  <c r="J83" i="73"/>
  <c r="J79" i="73"/>
  <c r="J72" i="73"/>
  <c r="J65" i="73"/>
  <c r="J64" i="73"/>
  <c r="J63" i="73"/>
  <c r="J62" i="73"/>
  <c r="J61" i="73"/>
  <c r="J60" i="73"/>
  <c r="J59" i="73"/>
  <c r="J58" i="73"/>
  <c r="F83" i="73"/>
  <c r="E83" i="73"/>
  <c r="F79" i="73"/>
  <c r="E79" i="73"/>
  <c r="F72" i="73"/>
  <c r="E72" i="73"/>
  <c r="F65" i="73"/>
  <c r="E65" i="73"/>
  <c r="F64" i="73"/>
  <c r="E64" i="73"/>
  <c r="F63" i="73"/>
  <c r="E63" i="73"/>
  <c r="F62" i="73"/>
  <c r="E62" i="73"/>
  <c r="F61" i="73"/>
  <c r="E61" i="73"/>
  <c r="F60" i="73"/>
  <c r="E60" i="73"/>
  <c r="F59" i="73"/>
  <c r="E59" i="73"/>
  <c r="F58" i="73"/>
  <c r="E58" i="73"/>
  <c r="C83" i="73"/>
  <c r="C79" i="73"/>
  <c r="C72" i="73"/>
  <c r="C65" i="73"/>
  <c r="C64" i="73"/>
  <c r="C63" i="73"/>
  <c r="C62" i="73"/>
  <c r="C61" i="73"/>
  <c r="C60" i="73"/>
  <c r="C59" i="73"/>
  <c r="C58" i="73"/>
  <c r="C160" i="72"/>
  <c r="D160" i="72"/>
  <c r="H160" i="72"/>
  <c r="B160" i="72"/>
  <c r="C156" i="72"/>
  <c r="D156" i="72"/>
  <c r="H156" i="72"/>
  <c r="B156" i="72"/>
  <c r="H149" i="72"/>
  <c r="D149" i="72"/>
  <c r="C149" i="72"/>
  <c r="B149" i="72"/>
  <c r="H142" i="72"/>
  <c r="H141" i="72"/>
  <c r="H140" i="72"/>
  <c r="H139" i="72"/>
  <c r="H138" i="72"/>
  <c r="H137" i="72"/>
  <c r="H136" i="72"/>
  <c r="H135" i="72"/>
  <c r="D142" i="72"/>
  <c r="D141" i="72"/>
  <c r="D140" i="72"/>
  <c r="D139" i="72"/>
  <c r="D138" i="72"/>
  <c r="D137" i="72"/>
  <c r="D136" i="72"/>
  <c r="D135" i="72"/>
  <c r="C142" i="72"/>
  <c r="C141" i="72"/>
  <c r="C140" i="72"/>
  <c r="C139" i="72"/>
  <c r="C138" i="72"/>
  <c r="C137" i="72"/>
  <c r="C136" i="72"/>
  <c r="C135" i="72"/>
  <c r="B142" i="72"/>
  <c r="B141" i="72"/>
  <c r="B140" i="72"/>
  <c r="B139" i="72"/>
  <c r="B138" i="72"/>
  <c r="B137" i="72"/>
  <c r="B136" i="72"/>
  <c r="B135" i="72"/>
  <c r="M78" i="72"/>
  <c r="E160" i="72" s="1"/>
  <c r="M74" i="72"/>
  <c r="G156" i="72" s="1"/>
  <c r="M67" i="72"/>
  <c r="G149" i="72" s="1"/>
  <c r="M60" i="72"/>
  <c r="G142" i="72" s="1"/>
  <c r="M59" i="72"/>
  <c r="G141" i="72" s="1"/>
  <c r="M58" i="72"/>
  <c r="G140" i="72" s="1"/>
  <c r="M57" i="72"/>
  <c r="G139" i="72" s="1"/>
  <c r="M56" i="72"/>
  <c r="G138" i="72" s="1"/>
  <c r="M55" i="72"/>
  <c r="G137" i="72" s="1"/>
  <c r="M54" i="72"/>
  <c r="G136" i="72" s="1"/>
  <c r="M53" i="72"/>
  <c r="G135" i="72" s="1"/>
  <c r="K74" i="74" l="1"/>
  <c r="N74" i="74" s="1"/>
  <c r="O74" i="74" s="1"/>
  <c r="K67" i="74"/>
  <c r="N67" i="74" s="1"/>
  <c r="O67" i="74" s="1"/>
  <c r="E139" i="72"/>
  <c r="E140" i="72"/>
  <c r="G160" i="72"/>
  <c r="E156" i="72"/>
  <c r="G168" i="72"/>
  <c r="E135" i="72"/>
  <c r="E138" i="72"/>
  <c r="E142" i="72"/>
  <c r="E141" i="72"/>
  <c r="E149" i="72"/>
  <c r="E136" i="72"/>
  <c r="E137" i="72"/>
  <c r="M85" i="72"/>
  <c r="E168" i="72" l="1"/>
  <c r="G21" i="69"/>
  <c r="H21" i="69" s="1"/>
  <c r="E12" i="91" l="1"/>
  <c r="E25" i="65"/>
  <c r="F26" i="65"/>
  <c r="I40" i="79"/>
  <c r="H22" i="69" l="1"/>
  <c r="D39" i="110" l="1"/>
  <c r="D38" i="110"/>
  <c r="E37" i="110"/>
  <c r="G37" i="110" s="1"/>
  <c r="D37" i="110"/>
  <c r="L37" i="110" s="1"/>
  <c r="E35" i="110"/>
  <c r="D35" i="110"/>
  <c r="E34" i="110"/>
  <c r="M34" i="110" s="1"/>
  <c r="D34" i="110"/>
  <c r="E33" i="110"/>
  <c r="D33" i="110"/>
  <c r="M32" i="110"/>
  <c r="L32" i="110"/>
  <c r="K32" i="110"/>
  <c r="J32" i="110"/>
  <c r="I32" i="110"/>
  <c r="H32" i="110"/>
  <c r="G32" i="110"/>
  <c r="F32" i="110"/>
  <c r="M31" i="110"/>
  <c r="L31" i="110"/>
  <c r="K31" i="110"/>
  <c r="J31" i="110"/>
  <c r="I31" i="110"/>
  <c r="H31" i="110"/>
  <c r="G31" i="110"/>
  <c r="F31" i="110"/>
  <c r="M30" i="110"/>
  <c r="L30" i="110"/>
  <c r="K30" i="110"/>
  <c r="J30" i="110"/>
  <c r="I30" i="110"/>
  <c r="H30" i="110"/>
  <c r="G30" i="110"/>
  <c r="F30" i="110"/>
  <c r="M29" i="110"/>
  <c r="L29" i="110"/>
  <c r="K29" i="110"/>
  <c r="J29" i="110"/>
  <c r="I29" i="110"/>
  <c r="H29" i="110"/>
  <c r="G29" i="110"/>
  <c r="F29" i="110"/>
  <c r="M28" i="110"/>
  <c r="L28" i="110"/>
  <c r="K28" i="110"/>
  <c r="J28" i="110"/>
  <c r="I28" i="110"/>
  <c r="H28" i="110"/>
  <c r="G28" i="110"/>
  <c r="F28" i="110"/>
  <c r="E27" i="110"/>
  <c r="M27" i="110" s="1"/>
  <c r="E20" i="110"/>
  <c r="D43" i="110"/>
  <c r="E16" i="110"/>
  <c r="E38" i="110"/>
  <c r="G4" i="110"/>
  <c r="I38" i="110" l="1"/>
  <c r="J38" i="110"/>
  <c r="L38" i="110"/>
  <c r="M38" i="110"/>
  <c r="K38" i="110"/>
  <c r="K35" i="110"/>
  <c r="K33" i="110"/>
  <c r="I37" i="110"/>
  <c r="F33" i="110"/>
  <c r="J37" i="110"/>
  <c r="H37" i="110"/>
  <c r="G33" i="110"/>
  <c r="K37" i="110"/>
  <c r="D36" i="110"/>
  <c r="L33" i="110"/>
  <c r="M33" i="110"/>
  <c r="F36" i="110"/>
  <c r="J36" i="110"/>
  <c r="M36" i="110"/>
  <c r="I36" i="110"/>
  <c r="H36" i="110"/>
  <c r="L36" i="110"/>
  <c r="K36" i="110"/>
  <c r="G36" i="110"/>
  <c r="F35" i="110"/>
  <c r="D40" i="110"/>
  <c r="F27" i="110"/>
  <c r="F34" i="110"/>
  <c r="H35" i="110"/>
  <c r="D41" i="110"/>
  <c r="E17" i="110"/>
  <c r="G27" i="110"/>
  <c r="G34" i="110"/>
  <c r="I35" i="110"/>
  <c r="M37" i="110"/>
  <c r="E39" i="110"/>
  <c r="E19" i="110"/>
  <c r="I34" i="110"/>
  <c r="D44" i="110"/>
  <c r="H33" i="110"/>
  <c r="J34" i="110"/>
  <c r="L35" i="110"/>
  <c r="D45" i="110"/>
  <c r="E21" i="110"/>
  <c r="K27" i="110"/>
  <c r="I33" i="110"/>
  <c r="K34" i="110"/>
  <c r="M35" i="110"/>
  <c r="G38" i="110"/>
  <c r="G35" i="110"/>
  <c r="E18" i="110"/>
  <c r="H27" i="110"/>
  <c r="H34" i="110"/>
  <c r="I27" i="110"/>
  <c r="G16" i="110"/>
  <c r="L27" i="110"/>
  <c r="J33" i="110"/>
  <c r="L34" i="110"/>
  <c r="F37" i="110"/>
  <c r="H38" i="110"/>
  <c r="D42" i="110"/>
  <c r="J35" i="110"/>
  <c r="J27" i="110"/>
  <c r="G46" i="110" l="1"/>
  <c r="H12" i="14" s="1"/>
  <c r="M39" i="110"/>
  <c r="L39" i="110"/>
  <c r="I39" i="110"/>
  <c r="H39" i="110"/>
  <c r="K39" i="110"/>
  <c r="J39" i="110"/>
  <c r="H46" i="110"/>
  <c r="M12" i="14" s="1"/>
  <c r="G17" i="110"/>
  <c r="E40" i="110"/>
  <c r="F46" i="110"/>
  <c r="E12" i="14" s="1"/>
  <c r="I40" i="110" l="1"/>
  <c r="I46" i="110" s="1"/>
  <c r="O12" i="14" s="1"/>
  <c r="M40" i="110"/>
  <c r="L40" i="110"/>
  <c r="K40" i="110"/>
  <c r="J40" i="110"/>
  <c r="E41" i="110"/>
  <c r="G18" i="110"/>
  <c r="G19" i="110" l="1"/>
  <c r="E42" i="110"/>
  <c r="L41" i="110"/>
  <c r="K41" i="110"/>
  <c r="J41" i="110"/>
  <c r="J46" i="110" s="1"/>
  <c r="P12" i="14" s="1"/>
  <c r="M41" i="110"/>
  <c r="K42" i="110" l="1"/>
  <c r="K46" i="110" s="1"/>
  <c r="Q12" i="14" s="1"/>
  <c r="M42" i="110"/>
  <c r="L42" i="110"/>
  <c r="E43" i="110"/>
  <c r="G20" i="110"/>
  <c r="E44" i="110" l="1"/>
  <c r="M44" i="110" s="1"/>
  <c r="G21" i="110"/>
  <c r="L43" i="110"/>
  <c r="L46" i="110" s="1"/>
  <c r="R12" i="14" s="1"/>
  <c r="M43" i="110"/>
  <c r="E45" i="110" l="1"/>
  <c r="E46" i="110" s="1"/>
  <c r="G23" i="110"/>
  <c r="M46" i="110"/>
  <c r="S12" i="14" s="1"/>
  <c r="O30" i="2" l="1"/>
  <c r="O29" i="2"/>
  <c r="O28" i="2"/>
  <c r="O27" i="2"/>
  <c r="O26" i="2"/>
  <c r="O23" i="2"/>
  <c r="O22" i="2"/>
  <c r="O21" i="2"/>
  <c r="O15" i="2"/>
  <c r="J30" i="2"/>
  <c r="J29" i="2"/>
  <c r="J28" i="2"/>
  <c r="J27" i="2"/>
  <c r="J26" i="2"/>
  <c r="J22" i="2"/>
  <c r="J21" i="2"/>
  <c r="J15" i="2"/>
  <c r="G30" i="2"/>
  <c r="G29" i="2"/>
  <c r="G28" i="2"/>
  <c r="G27" i="2"/>
  <c r="G26" i="2"/>
  <c r="G25" i="2"/>
  <c r="G22" i="2"/>
  <c r="G21" i="2"/>
  <c r="G15" i="2"/>
  <c r="F25" i="109"/>
  <c r="F24" i="109"/>
  <c r="D41" i="79" l="1"/>
  <c r="B42" i="79"/>
  <c r="H24" i="114" l="1"/>
  <c r="I24" i="114" s="1"/>
  <c r="H23" i="114"/>
  <c r="H22" i="114"/>
  <c r="H21" i="114"/>
  <c r="I21" i="114" s="1"/>
  <c r="H20" i="114"/>
  <c r="I20" i="114" s="1"/>
  <c r="H19" i="114"/>
  <c r="I19" i="114" s="1"/>
  <c r="H18" i="114"/>
  <c r="I18" i="114" s="1"/>
  <c r="H17" i="114"/>
  <c r="I17" i="114" s="1"/>
  <c r="H16" i="114"/>
  <c r="H15" i="114"/>
  <c r="H14" i="114"/>
  <c r="I14" i="114" s="1"/>
  <c r="H13" i="114"/>
  <c r="I13" i="114" s="1"/>
  <c r="H12" i="114"/>
  <c r="I12" i="114" s="1"/>
  <c r="H11" i="114"/>
  <c r="I11" i="114" s="1"/>
  <c r="H5" i="114"/>
  <c r="H4" i="114"/>
  <c r="I5" i="114"/>
  <c r="I4" i="114"/>
  <c r="H6" i="114"/>
  <c r="F25" i="114"/>
  <c r="G24" i="114"/>
  <c r="G23" i="114"/>
  <c r="G22" i="114"/>
  <c r="G21" i="114"/>
  <c r="G20" i="114"/>
  <c r="G19" i="114"/>
  <c r="G18" i="114"/>
  <c r="G17" i="114"/>
  <c r="G16" i="114"/>
  <c r="G15" i="114"/>
  <c r="G14" i="114"/>
  <c r="G13" i="114"/>
  <c r="G12" i="114"/>
  <c r="G11" i="114"/>
  <c r="E10" i="114"/>
  <c r="E25" i="114" s="1"/>
  <c r="F6" i="114"/>
  <c r="E6" i="114"/>
  <c r="G5" i="114"/>
  <c r="G4" i="114"/>
  <c r="G6" i="114" s="1"/>
  <c r="J11" i="114" l="1"/>
  <c r="J12" i="114"/>
  <c r="J4" i="114"/>
  <c r="I16" i="114"/>
  <c r="J16" i="114" s="1"/>
  <c r="J5" i="114"/>
  <c r="J24" i="114"/>
  <c r="H10" i="114"/>
  <c r="J20" i="114"/>
  <c r="I6" i="114"/>
  <c r="J21" i="114"/>
  <c r="I22" i="114"/>
  <c r="J22" i="114" s="1"/>
  <c r="J14" i="114"/>
  <c r="J18" i="114"/>
  <c r="J13" i="114"/>
  <c r="I23" i="114"/>
  <c r="J23" i="114" s="1"/>
  <c r="J17" i="114"/>
  <c r="I15" i="114"/>
  <c r="J15" i="114" s="1"/>
  <c r="J19" i="114"/>
  <c r="J6" i="114"/>
  <c r="E14" i="58" s="1"/>
  <c r="G10" i="114"/>
  <c r="G25" i="114" s="1"/>
  <c r="I10" i="114" l="1"/>
  <c r="I25" i="114" s="1"/>
  <c r="H25" i="114"/>
  <c r="J51" i="79"/>
  <c r="H12" i="90"/>
  <c r="E12" i="90"/>
  <c r="H18" i="69"/>
  <c r="H15" i="69"/>
  <c r="H37" i="68"/>
  <c r="H36" i="68"/>
  <c r="H35" i="68"/>
  <c r="H34" i="68"/>
  <c r="H33" i="68"/>
  <c r="H32" i="68"/>
  <c r="H31" i="68"/>
  <c r="H30" i="68"/>
  <c r="H29" i="68"/>
  <c r="H28" i="68"/>
  <c r="H27" i="68"/>
  <c r="H26" i="68"/>
  <c r="H25" i="68"/>
  <c r="H24" i="68"/>
  <c r="H23" i="68"/>
  <c r="H22" i="68"/>
  <c r="H21" i="68"/>
  <c r="H20" i="68"/>
  <c r="H19" i="68"/>
  <c r="H18" i="68"/>
  <c r="H17" i="68"/>
  <c r="H16" i="68"/>
  <c r="H15" i="68"/>
  <c r="H14" i="68"/>
  <c r="H13" i="68"/>
  <c r="H12" i="68"/>
  <c r="H11" i="68"/>
  <c r="H10" i="68"/>
  <c r="D28" i="67"/>
  <c r="J10" i="114" l="1"/>
  <c r="J25" i="114" s="1"/>
  <c r="H14" i="58" s="1"/>
  <c r="H14" i="69"/>
  <c r="H17" i="69"/>
  <c r="H12" i="69"/>
  <c r="H16" i="69"/>
  <c r="E28" i="67"/>
  <c r="F28" i="67"/>
  <c r="H11" i="69"/>
  <c r="G28" i="67"/>
  <c r="H10" i="69"/>
  <c r="F8" i="106" l="1"/>
  <c r="E8" i="106"/>
  <c r="H10" i="90" s="1"/>
  <c r="D8" i="106"/>
  <c r="E10" i="90" s="1"/>
  <c r="N16" i="91" l="1"/>
  <c r="L16" i="91"/>
  <c r="K16" i="91"/>
  <c r="J16" i="91"/>
  <c r="I16" i="91"/>
  <c r="G16" i="91"/>
  <c r="F16" i="91"/>
  <c r="D16" i="91"/>
  <c r="Y24" i="100"/>
  <c r="Y23" i="100"/>
  <c r="Y22" i="100"/>
  <c r="Y21" i="100"/>
  <c r="Y20" i="100"/>
  <c r="Y19" i="100"/>
  <c r="T24" i="100"/>
  <c r="T23" i="100"/>
  <c r="T22" i="100"/>
  <c r="T21" i="100"/>
  <c r="T19" i="100"/>
  <c r="O24" i="100"/>
  <c r="O23" i="100"/>
  <c r="O22" i="100"/>
  <c r="O21" i="100"/>
  <c r="O20" i="100"/>
  <c r="O19" i="100"/>
  <c r="J24" i="100"/>
  <c r="J23" i="100"/>
  <c r="J22" i="100"/>
  <c r="J21" i="100"/>
  <c r="J20" i="100"/>
  <c r="J19" i="100"/>
  <c r="E24" i="100"/>
  <c r="E47" i="100" s="1"/>
  <c r="E23" i="100"/>
  <c r="E22" i="100"/>
  <c r="E21" i="100"/>
  <c r="H21" i="100" s="1"/>
  <c r="I21" i="100" s="1"/>
  <c r="J44" i="100" s="1"/>
  <c r="E20" i="100"/>
  <c r="H20" i="100" s="1"/>
  <c r="I20" i="100" s="1"/>
  <c r="J43" i="100" s="1"/>
  <c r="E19" i="100"/>
  <c r="E42" i="100" s="1"/>
  <c r="AA67" i="100"/>
  <c r="Z67" i="100"/>
  <c r="V67" i="100"/>
  <c r="U67" i="100"/>
  <c r="Q67" i="100"/>
  <c r="P67" i="100"/>
  <c r="L67" i="100"/>
  <c r="K67" i="100"/>
  <c r="G67" i="100"/>
  <c r="F67" i="100"/>
  <c r="AA66" i="100"/>
  <c r="Z66" i="100"/>
  <c r="V66" i="100"/>
  <c r="U66" i="100"/>
  <c r="Q66" i="100"/>
  <c r="P66" i="100"/>
  <c r="L66" i="100"/>
  <c r="K66" i="100"/>
  <c r="G66" i="100"/>
  <c r="F66" i="100"/>
  <c r="AA65" i="100"/>
  <c r="Z65" i="100"/>
  <c r="V65" i="100"/>
  <c r="U65" i="100"/>
  <c r="Q65" i="100"/>
  <c r="P65" i="100"/>
  <c r="L65" i="100"/>
  <c r="K65" i="100"/>
  <c r="G65" i="100"/>
  <c r="F65" i="100"/>
  <c r="AA64" i="100"/>
  <c r="Z64" i="100"/>
  <c r="V64" i="100"/>
  <c r="U64" i="100"/>
  <c r="Q64" i="100"/>
  <c r="P64" i="100"/>
  <c r="L64" i="100"/>
  <c r="K64" i="100"/>
  <c r="G64" i="100"/>
  <c r="F64" i="100"/>
  <c r="AA63" i="100"/>
  <c r="Z63" i="100"/>
  <c r="V63" i="100"/>
  <c r="U63" i="100"/>
  <c r="Q63" i="100"/>
  <c r="P63" i="100"/>
  <c r="L63" i="100"/>
  <c r="K63" i="100"/>
  <c r="G63" i="100"/>
  <c r="F63" i="100"/>
  <c r="AA62" i="100"/>
  <c r="AA68" i="100" s="1"/>
  <c r="Z62" i="100"/>
  <c r="Z68" i="100" s="1"/>
  <c r="V62" i="100"/>
  <c r="V68" i="100" s="1"/>
  <c r="U62" i="100"/>
  <c r="U68" i="100" s="1"/>
  <c r="Q62" i="100"/>
  <c r="Q68" i="100" s="1"/>
  <c r="P62" i="100"/>
  <c r="P68" i="100" s="1"/>
  <c r="L62" i="100"/>
  <c r="L68" i="100" s="1"/>
  <c r="K62" i="100"/>
  <c r="G62" i="100"/>
  <c r="G68" i="100" s="1"/>
  <c r="F62" i="100"/>
  <c r="F68" i="100" s="1"/>
  <c r="D67" i="100"/>
  <c r="D68" i="100" s="1"/>
  <c r="D66" i="100"/>
  <c r="D65" i="100"/>
  <c r="D64" i="100"/>
  <c r="D63" i="100"/>
  <c r="D62" i="100"/>
  <c r="AA48" i="100"/>
  <c r="Z48" i="100"/>
  <c r="V48" i="100"/>
  <c r="U48" i="100"/>
  <c r="Q48" i="100"/>
  <c r="P48" i="100"/>
  <c r="L48" i="100"/>
  <c r="K48" i="100"/>
  <c r="G48" i="100"/>
  <c r="F48" i="100"/>
  <c r="D48" i="100"/>
  <c r="AA26" i="100"/>
  <c r="Z26" i="100"/>
  <c r="V26" i="100"/>
  <c r="U26" i="100"/>
  <c r="Q26" i="100"/>
  <c r="P26" i="100"/>
  <c r="L26" i="100"/>
  <c r="K26" i="100"/>
  <c r="G26" i="100"/>
  <c r="F26" i="100"/>
  <c r="D26" i="100"/>
  <c r="O17" i="99"/>
  <c r="D7" i="113"/>
  <c r="D8" i="113" s="1"/>
  <c r="D9" i="113" s="1"/>
  <c r="D10" i="113" s="1"/>
  <c r="D11" i="113" s="1"/>
  <c r="D12" i="113" s="1"/>
  <c r="D13" i="113" s="1"/>
  <c r="D14" i="113" s="1"/>
  <c r="D15" i="113" s="1"/>
  <c r="D16" i="113" s="1"/>
  <c r="D17" i="113" s="1"/>
  <c r="I17" i="113"/>
  <c r="T20" i="100" s="1"/>
  <c r="K68" i="100" l="1"/>
  <c r="H24" i="100"/>
  <c r="I24" i="100" s="1"/>
  <c r="J47" i="100" s="1"/>
  <c r="E67" i="100"/>
  <c r="H47" i="100"/>
  <c r="I47" i="100" s="1"/>
  <c r="M47" i="100" s="1"/>
  <c r="H42" i="100"/>
  <c r="I42" i="100" s="1"/>
  <c r="H22" i="100"/>
  <c r="I22" i="100" s="1"/>
  <c r="J45" i="100" s="1"/>
  <c r="J65" i="100" s="1"/>
  <c r="E43" i="100"/>
  <c r="H43" i="100" s="1"/>
  <c r="I43" i="100" s="1"/>
  <c r="M43" i="100" s="1"/>
  <c r="J63" i="100"/>
  <c r="H23" i="100"/>
  <c r="I23" i="100" s="1"/>
  <c r="J46" i="100" s="1"/>
  <c r="J66" i="100" s="1"/>
  <c r="J64" i="100"/>
  <c r="E44" i="100"/>
  <c r="E45" i="100"/>
  <c r="H45" i="100" s="1"/>
  <c r="I45" i="100" s="1"/>
  <c r="M45" i="100" s="1"/>
  <c r="E46" i="100"/>
  <c r="H46" i="100" s="1"/>
  <c r="I46" i="100" s="1"/>
  <c r="J67" i="100"/>
  <c r="E62" i="100"/>
  <c r="I18" i="113"/>
  <c r="Y26" i="100"/>
  <c r="T26" i="100"/>
  <c r="O26" i="100"/>
  <c r="M20" i="100"/>
  <c r="M21" i="100"/>
  <c r="M22" i="100"/>
  <c r="J26" i="100"/>
  <c r="M24" i="100"/>
  <c r="H19" i="100"/>
  <c r="E26" i="100"/>
  <c r="I28" i="112"/>
  <c r="I30" i="112" s="1"/>
  <c r="H28" i="112"/>
  <c r="H30" i="112" s="1"/>
  <c r="D26" i="65" l="1"/>
  <c r="H67" i="100"/>
  <c r="E63" i="100"/>
  <c r="H66" i="100"/>
  <c r="I63" i="100"/>
  <c r="I67" i="100"/>
  <c r="H65" i="100"/>
  <c r="I66" i="100"/>
  <c r="I65" i="100"/>
  <c r="E65" i="100"/>
  <c r="H63" i="100"/>
  <c r="M23" i="100"/>
  <c r="N23" i="100" s="1"/>
  <c r="N46" i="100" s="1"/>
  <c r="N22" i="100"/>
  <c r="N45" i="100" s="1"/>
  <c r="H44" i="100"/>
  <c r="H48" i="100" s="1"/>
  <c r="E64" i="100"/>
  <c r="N21" i="100"/>
  <c r="N44" i="100" s="1"/>
  <c r="N20" i="100"/>
  <c r="N43" i="100" s="1"/>
  <c r="E48" i="100"/>
  <c r="F21" i="115" s="1"/>
  <c r="M65" i="100"/>
  <c r="M46" i="100"/>
  <c r="E66" i="100"/>
  <c r="M63" i="100"/>
  <c r="N24" i="100"/>
  <c r="O47" i="100" s="1"/>
  <c r="O67" i="100" s="1"/>
  <c r="M67" i="100"/>
  <c r="I19" i="100"/>
  <c r="J42" i="100" s="1"/>
  <c r="H62" i="100"/>
  <c r="H26" i="100"/>
  <c r="K27" i="65"/>
  <c r="T11" i="2" s="1"/>
  <c r="J27" i="65"/>
  <c r="S11" i="2" s="1"/>
  <c r="I27" i="65"/>
  <c r="R11" i="2" s="1"/>
  <c r="H27" i="65"/>
  <c r="Q11" i="2" s="1"/>
  <c r="G27" i="65"/>
  <c r="P11" i="2" s="1"/>
  <c r="F27" i="65"/>
  <c r="N11" i="2" s="1"/>
  <c r="E27" i="65"/>
  <c r="D27" i="65"/>
  <c r="E68" i="100" l="1"/>
  <c r="N65" i="100"/>
  <c r="I11" i="2"/>
  <c r="M11" i="2"/>
  <c r="O11" i="2"/>
  <c r="J11" i="2"/>
  <c r="E41" i="79"/>
  <c r="R20" i="100"/>
  <c r="O43" i="100"/>
  <c r="O63" i="100" s="1"/>
  <c r="R21" i="100"/>
  <c r="O44" i="100"/>
  <c r="O64" i="100" s="1"/>
  <c r="N64" i="100"/>
  <c r="M66" i="100"/>
  <c r="N47" i="100"/>
  <c r="R47" i="100" s="1"/>
  <c r="S47" i="100" s="1"/>
  <c r="R23" i="100"/>
  <c r="O46" i="100"/>
  <c r="O66" i="100" s="1"/>
  <c r="J48" i="100"/>
  <c r="G21" i="115" s="1"/>
  <c r="J62" i="100"/>
  <c r="J68" i="100" s="1"/>
  <c r="I44" i="100"/>
  <c r="H64" i="100"/>
  <c r="H68" i="100" s="1"/>
  <c r="N63" i="100"/>
  <c r="R22" i="100"/>
  <c r="O45" i="100"/>
  <c r="O65" i="100" s="1"/>
  <c r="N66" i="100"/>
  <c r="M42" i="100"/>
  <c r="R24" i="100"/>
  <c r="M19" i="100"/>
  <c r="I26" i="100"/>
  <c r="I62" i="100"/>
  <c r="J41" i="79" l="1"/>
  <c r="F41" i="79"/>
  <c r="S22" i="100"/>
  <c r="N67" i="100"/>
  <c r="S21" i="100"/>
  <c r="M44" i="100"/>
  <c r="M48" i="100" s="1"/>
  <c r="I64" i="100"/>
  <c r="I68" i="100" s="1"/>
  <c r="I48" i="100"/>
  <c r="R45" i="100"/>
  <c r="S45" i="100" s="1"/>
  <c r="S23" i="100"/>
  <c r="N42" i="100"/>
  <c r="N48" i="100" s="1"/>
  <c r="S20" i="100"/>
  <c r="R46" i="100"/>
  <c r="S46" i="100" s="1"/>
  <c r="R43" i="100"/>
  <c r="S43" i="100" s="1"/>
  <c r="S24" i="100"/>
  <c r="T47" i="100" s="1"/>
  <c r="T67" i="100" s="1"/>
  <c r="R67" i="100"/>
  <c r="N19" i="100"/>
  <c r="O42" i="100" s="1"/>
  <c r="M62" i="100"/>
  <c r="M26" i="100"/>
  <c r="W21" i="100" l="1"/>
  <c r="T44" i="100"/>
  <c r="T64" i="100" s="1"/>
  <c r="R63" i="100"/>
  <c r="W22" i="100"/>
  <c r="T45" i="100"/>
  <c r="T65" i="100" s="1"/>
  <c r="S65" i="100"/>
  <c r="W45" i="100"/>
  <c r="X45" i="100" s="1"/>
  <c r="R44" i="100"/>
  <c r="M64" i="100"/>
  <c r="M68" i="100" s="1"/>
  <c r="W47" i="100"/>
  <c r="X47" i="100" s="1"/>
  <c r="W20" i="100"/>
  <c r="T43" i="100"/>
  <c r="T63" i="100" s="1"/>
  <c r="S63" i="100"/>
  <c r="R65" i="100"/>
  <c r="O48" i="100"/>
  <c r="H21" i="115" s="1"/>
  <c r="O62" i="100"/>
  <c r="O68" i="100" s="1"/>
  <c r="R66" i="100"/>
  <c r="W23" i="100"/>
  <c r="T46" i="100"/>
  <c r="T66" i="100" s="1"/>
  <c r="S66" i="100"/>
  <c r="R42" i="100"/>
  <c r="W24" i="100"/>
  <c r="S67" i="100"/>
  <c r="R19" i="100"/>
  <c r="N26" i="100"/>
  <c r="N62" i="100"/>
  <c r="N68" i="100" s="1"/>
  <c r="S44" i="100" l="1"/>
  <c r="R64" i="100"/>
  <c r="W65" i="100"/>
  <c r="X22" i="100"/>
  <c r="X23" i="100"/>
  <c r="W63" i="100"/>
  <c r="X20" i="100"/>
  <c r="AB47" i="100"/>
  <c r="X21" i="100"/>
  <c r="S42" i="100"/>
  <c r="R48" i="100"/>
  <c r="W46" i="100"/>
  <c r="X46" i="100" s="1"/>
  <c r="W43" i="100"/>
  <c r="X43" i="100" s="1"/>
  <c r="W67" i="100"/>
  <c r="X24" i="100"/>
  <c r="Y47" i="100" s="1"/>
  <c r="Y67" i="100" s="1"/>
  <c r="S19" i="100"/>
  <c r="T42" i="100" s="1"/>
  <c r="R26" i="100"/>
  <c r="R62" i="100"/>
  <c r="R68" i="100" s="1"/>
  <c r="W66" i="100" l="1"/>
  <c r="AB21" i="100"/>
  <c r="Y44" i="100"/>
  <c r="Y64" i="100" s="1"/>
  <c r="AB20" i="100"/>
  <c r="Y43" i="100"/>
  <c r="Y63" i="100" s="1"/>
  <c r="X63" i="100"/>
  <c r="AB43" i="100"/>
  <c r="Y45" i="100"/>
  <c r="X65" i="100"/>
  <c r="AB22" i="100"/>
  <c r="T48" i="100"/>
  <c r="I21" i="115" s="1"/>
  <c r="T62" i="100"/>
  <c r="T68" i="100" s="1"/>
  <c r="AB23" i="100"/>
  <c r="Y46" i="100"/>
  <c r="Y66" i="100" s="1"/>
  <c r="X66" i="100"/>
  <c r="W42" i="100"/>
  <c r="S48" i="100"/>
  <c r="W44" i="100"/>
  <c r="S64" i="100"/>
  <c r="AB24" i="100"/>
  <c r="AB67" i="100" s="1"/>
  <c r="X67" i="100"/>
  <c r="W19" i="100"/>
  <c r="S62" i="100"/>
  <c r="S68" i="100" s="1"/>
  <c r="S26" i="100"/>
  <c r="AB46" i="100" l="1"/>
  <c r="AB66" i="100" s="1"/>
  <c r="Y65" i="100"/>
  <c r="AB45" i="100"/>
  <c r="AB65" i="100" s="1"/>
  <c r="X44" i="100"/>
  <c r="W64" i="100"/>
  <c r="X42" i="100"/>
  <c r="W48" i="100"/>
  <c r="AB63" i="100"/>
  <c r="W26" i="100"/>
  <c r="X19" i="100"/>
  <c r="Y42" i="100" s="1"/>
  <c r="W62" i="100"/>
  <c r="AB42" i="100" l="1"/>
  <c r="X48" i="100"/>
  <c r="Y48" i="100"/>
  <c r="J21" i="115" s="1"/>
  <c r="Y62" i="100"/>
  <c r="Y68" i="100" s="1"/>
  <c r="AB44" i="100"/>
  <c r="AB64" i="100" s="1"/>
  <c r="X64" i="100"/>
  <c r="W68" i="100"/>
  <c r="AB19" i="100"/>
  <c r="X26" i="100"/>
  <c r="X62" i="100"/>
  <c r="X68" i="100" s="1"/>
  <c r="AB48" i="100" l="1"/>
  <c r="AB62" i="100"/>
  <c r="AB68" i="100" s="1"/>
  <c r="AB26" i="100"/>
  <c r="F9" i="101" l="1"/>
  <c r="G9" i="101" s="1"/>
  <c r="G14" i="105" l="1"/>
  <c r="F14" i="105"/>
  <c r="D6" i="108" l="1"/>
  <c r="F20" i="77" s="1"/>
  <c r="F41" i="105" l="1"/>
  <c r="F34" i="105"/>
  <c r="F30" i="105"/>
  <c r="F28" i="105" s="1"/>
  <c r="D22" i="105"/>
  <c r="D11" i="108"/>
  <c r="F20" i="105"/>
  <c r="F12" i="105"/>
  <c r="F10" i="105"/>
  <c r="F6" i="105"/>
  <c r="F5" i="105"/>
  <c r="C41" i="105"/>
  <c r="C34" i="105"/>
  <c r="C30" i="105"/>
  <c r="C28" i="105" s="1"/>
  <c r="C20" i="105"/>
  <c r="C14" i="105"/>
  <c r="D14" i="105" s="1"/>
  <c r="C13" i="105"/>
  <c r="C12" i="105"/>
  <c r="C10" i="105"/>
  <c r="C9" i="105"/>
  <c r="C5" i="105"/>
  <c r="E7" i="101"/>
  <c r="E8" i="101"/>
  <c r="E9" i="101" s="1"/>
  <c r="F7" i="102"/>
  <c r="G7" i="102" s="1"/>
  <c r="E7" i="102"/>
  <c r="B11" i="67"/>
  <c r="B12" i="67" s="1"/>
  <c r="B13" i="67" s="1"/>
  <c r="B14" i="67" s="1"/>
  <c r="B15" i="67" s="1"/>
  <c r="B16" i="67" s="1"/>
  <c r="B17" i="67" s="1"/>
  <c r="B18" i="67" s="1"/>
  <c r="B19" i="67" s="1"/>
  <c r="B20" i="67" s="1"/>
  <c r="B21" i="67" s="1"/>
  <c r="B22" i="67" s="1"/>
  <c r="B23" i="67" s="1"/>
  <c r="B24" i="67" s="1"/>
  <c r="B25" i="67" s="1"/>
  <c r="B26" i="67" s="1"/>
  <c r="B27" i="67" s="1"/>
  <c r="B28" i="67" s="1"/>
  <c r="B29" i="67" s="1"/>
  <c r="H33" i="67"/>
  <c r="D34" i="67"/>
  <c r="H32" i="67"/>
  <c r="H29" i="67"/>
  <c r="H31" i="67"/>
  <c r="H30" i="67"/>
  <c r="H25" i="67"/>
  <c r="H23" i="67"/>
  <c r="H19" i="67"/>
  <c r="H16" i="67"/>
  <c r="H15" i="67"/>
  <c r="H13" i="67"/>
  <c r="H12" i="67"/>
  <c r="H11" i="67"/>
  <c r="G22" i="105" l="1"/>
  <c r="H20" i="77"/>
  <c r="H7" i="102"/>
  <c r="F24" i="115"/>
  <c r="F12" i="115"/>
  <c r="H28" i="67"/>
  <c r="F74" i="67"/>
  <c r="E74" i="67"/>
  <c r="G74" i="67"/>
  <c r="D74" i="67"/>
  <c r="H74" i="67"/>
  <c r="E34" i="67"/>
  <c r="G34" i="67"/>
  <c r="H20" i="67"/>
  <c r="H26" i="67"/>
  <c r="H18" i="67"/>
  <c r="H21" i="67"/>
  <c r="H24" i="67"/>
  <c r="H14" i="67"/>
  <c r="F34" i="67"/>
  <c r="H17" i="67"/>
  <c r="E19" i="69"/>
  <c r="E23" i="69" s="1"/>
  <c r="H10" i="67"/>
  <c r="H22" i="67"/>
  <c r="H27" i="67"/>
  <c r="D19" i="69"/>
  <c r="D23" i="69" s="1"/>
  <c r="E9" i="76"/>
  <c r="I7" i="102" l="1"/>
  <c r="G24" i="115"/>
  <c r="G12" i="115"/>
  <c r="H34" i="67"/>
  <c r="J7" i="102" l="1"/>
  <c r="H24" i="115"/>
  <c r="H12" i="115"/>
  <c r="D53" i="79"/>
  <c r="K7" i="102" l="1"/>
  <c r="I12" i="115"/>
  <c r="I24" i="115"/>
  <c r="D12" i="79"/>
  <c r="J12" i="115" l="1"/>
  <c r="J24" i="115"/>
  <c r="D13" i="3"/>
  <c r="G20" i="58"/>
  <c r="J20" i="58" s="1"/>
  <c r="Y54" i="99"/>
  <c r="Y53" i="99"/>
  <c r="Y52" i="99"/>
  <c r="Y51" i="99"/>
  <c r="Y50" i="99"/>
  <c r="Y55" i="99"/>
  <c r="F11" i="2"/>
  <c r="E12" i="79" l="1"/>
  <c r="G11" i="2"/>
  <c r="F12" i="79"/>
  <c r="J12" i="79" l="1"/>
  <c r="E38" i="68"/>
  <c r="D38" i="68"/>
  <c r="M65" i="96" l="1"/>
  <c r="L65" i="96"/>
  <c r="K65" i="96"/>
  <c r="J65" i="96"/>
  <c r="I65" i="96"/>
  <c r="H65" i="96"/>
  <c r="G65" i="96"/>
  <c r="F65" i="96"/>
  <c r="AD62" i="96"/>
  <c r="AC62" i="96"/>
  <c r="AD61" i="96"/>
  <c r="AC61" i="96"/>
  <c r="AB61" i="96"/>
  <c r="AD60" i="96"/>
  <c r="AC60" i="96"/>
  <c r="AB60" i="96"/>
  <c r="AA60" i="96"/>
  <c r="AG60" i="96" s="1"/>
  <c r="AD59" i="96"/>
  <c r="AC59" i="96"/>
  <c r="AB59" i="96"/>
  <c r="AA59" i="96"/>
  <c r="Z59" i="96"/>
  <c r="AD58" i="96"/>
  <c r="AC58" i="96"/>
  <c r="AB58" i="96"/>
  <c r="AA58" i="96"/>
  <c r="Z58" i="96"/>
  <c r="Y58" i="96"/>
  <c r="AG58" i="96" s="1"/>
  <c r="AD57" i="96"/>
  <c r="AC57" i="96"/>
  <c r="AF57" i="96" s="1"/>
  <c r="AB57" i="96"/>
  <c r="AA57" i="96"/>
  <c r="Z57" i="96"/>
  <c r="Y57" i="96"/>
  <c r="X57" i="96"/>
  <c r="AD56" i="96"/>
  <c r="AC56" i="96"/>
  <c r="AB56" i="96"/>
  <c r="AA56" i="96"/>
  <c r="Z56" i="96"/>
  <c r="Y56" i="96"/>
  <c r="X56" i="96"/>
  <c r="W56" i="96"/>
  <c r="AD55" i="96"/>
  <c r="AC55" i="96"/>
  <c r="AB55" i="96"/>
  <c r="AA55" i="96"/>
  <c r="Z55" i="96"/>
  <c r="Y55" i="96"/>
  <c r="X55" i="96"/>
  <c r="W55" i="96"/>
  <c r="V55" i="96"/>
  <c r="AG55" i="96" s="1"/>
  <c r="AD54" i="96"/>
  <c r="AC54" i="96"/>
  <c r="AB54" i="96"/>
  <c r="AA54" i="96"/>
  <c r="Z54" i="96"/>
  <c r="Y54" i="96"/>
  <c r="X54" i="96"/>
  <c r="W54" i="96"/>
  <c r="V54" i="96"/>
  <c r="U54" i="96"/>
  <c r="AD53" i="96"/>
  <c r="AC53" i="96"/>
  <c r="AB53" i="96"/>
  <c r="AA53" i="96"/>
  <c r="Z53" i="96"/>
  <c r="Y53" i="96"/>
  <c r="X53" i="96"/>
  <c r="W53" i="96"/>
  <c r="V53" i="96"/>
  <c r="U53" i="96"/>
  <c r="T53" i="96"/>
  <c r="AD52" i="96"/>
  <c r="AC52" i="96"/>
  <c r="AB52" i="96"/>
  <c r="AA52" i="96"/>
  <c r="Z52" i="96"/>
  <c r="Y52" i="96"/>
  <c r="X52" i="96"/>
  <c r="W52" i="96"/>
  <c r="V52" i="96"/>
  <c r="U52" i="96"/>
  <c r="T52" i="96"/>
  <c r="S52" i="96"/>
  <c r="AD51" i="96"/>
  <c r="AC51" i="96"/>
  <c r="AB51" i="96"/>
  <c r="AA51" i="96"/>
  <c r="Z51" i="96"/>
  <c r="Y51" i="96"/>
  <c r="X51" i="96"/>
  <c r="W51" i="96"/>
  <c r="V51" i="96"/>
  <c r="U51" i="96"/>
  <c r="T51" i="96"/>
  <c r="S51" i="96"/>
  <c r="R51" i="96"/>
  <c r="AD64" i="96"/>
  <c r="AG64" i="96" s="1"/>
  <c r="AC63" i="96"/>
  <c r="AG63" i="96" s="1"/>
  <c r="AB62" i="96"/>
  <c r="AG62" i="96" s="1"/>
  <c r="AA61" i="96"/>
  <c r="AF61" i="96" s="1"/>
  <c r="Z60" i="96"/>
  <c r="Y59" i="96"/>
  <c r="X58" i="96"/>
  <c r="W57" i="96"/>
  <c r="V56" i="96"/>
  <c r="U55" i="96"/>
  <c r="T54" i="96"/>
  <c r="S53" i="96"/>
  <c r="R52" i="96"/>
  <c r="Q51" i="96"/>
  <c r="AD50" i="96"/>
  <c r="AC50" i="96"/>
  <c r="AB50" i="96"/>
  <c r="AA50" i="96"/>
  <c r="Z50" i="96"/>
  <c r="Y50" i="96"/>
  <c r="X50" i="96"/>
  <c r="W50" i="96"/>
  <c r="V50" i="96"/>
  <c r="U50" i="96"/>
  <c r="T50" i="96"/>
  <c r="S50" i="96"/>
  <c r="R50" i="96"/>
  <c r="Q50" i="96"/>
  <c r="AG50" i="96" s="1"/>
  <c r="P50" i="96"/>
  <c r="AD49" i="96"/>
  <c r="AC49" i="96"/>
  <c r="AB49" i="96"/>
  <c r="AA49" i="96"/>
  <c r="Z49" i="96"/>
  <c r="Y49" i="96"/>
  <c r="X49" i="96"/>
  <c r="W49" i="96"/>
  <c r="W65" i="96" s="1"/>
  <c r="V49" i="96"/>
  <c r="V65" i="96" s="1"/>
  <c r="U49" i="96"/>
  <c r="U65" i="96" s="1"/>
  <c r="T49" i="96"/>
  <c r="T65" i="96" s="1"/>
  <c r="S49" i="96"/>
  <c r="R49" i="96"/>
  <c r="Q49" i="96"/>
  <c r="P49" i="96"/>
  <c r="AD48" i="96"/>
  <c r="AC48" i="96"/>
  <c r="AB48" i="96"/>
  <c r="AA48" i="96"/>
  <c r="Z48" i="96"/>
  <c r="Y48" i="96"/>
  <c r="X48" i="96"/>
  <c r="W48" i="96"/>
  <c r="V48" i="96"/>
  <c r="U48" i="96"/>
  <c r="T48" i="96"/>
  <c r="S48" i="96"/>
  <c r="R48" i="96"/>
  <c r="Q48" i="96"/>
  <c r="P48" i="96"/>
  <c r="P65" i="96" s="1"/>
  <c r="O48" i="96"/>
  <c r="O65" i="96" s="1"/>
  <c r="N48" i="96"/>
  <c r="X36" i="96" s="1"/>
  <c r="C65" i="96"/>
  <c r="B43" i="79"/>
  <c r="B44" i="79" s="1"/>
  <c r="B45" i="79" s="1"/>
  <c r="B46" i="79" s="1"/>
  <c r="B47" i="79" s="1"/>
  <c r="B48" i="79" s="1"/>
  <c r="B49" i="79" s="1"/>
  <c r="B50" i="79" s="1"/>
  <c r="B51" i="79" s="1"/>
  <c r="B52" i="79" s="1"/>
  <c r="E45" i="79"/>
  <c r="D45" i="79"/>
  <c r="D42" i="79"/>
  <c r="E22" i="79"/>
  <c r="J22" i="79" s="1"/>
  <c r="E16" i="79"/>
  <c r="B13" i="79"/>
  <c r="B14" i="79" s="1"/>
  <c r="B15" i="79" s="1"/>
  <c r="B16" i="79" s="1"/>
  <c r="B17" i="79" s="1"/>
  <c r="B18" i="79" s="1"/>
  <c r="B19" i="79" s="1"/>
  <c r="B20" i="79" s="1"/>
  <c r="B21" i="79" s="1"/>
  <c r="D22" i="79"/>
  <c r="D16" i="79"/>
  <c r="D13" i="79"/>
  <c r="G34" i="105"/>
  <c r="AB65" i="96" l="1"/>
  <c r="AD65" i="96"/>
  <c r="Y65" i="96"/>
  <c r="R65" i="96"/>
  <c r="AF48" i="96"/>
  <c r="Z65" i="96"/>
  <c r="AA65" i="96"/>
  <c r="N36" i="96"/>
  <c r="AG51" i="96"/>
  <c r="AG61" i="96"/>
  <c r="O36" i="96"/>
  <c r="P36" i="96"/>
  <c r="AC65" i="96"/>
  <c r="X65" i="96"/>
  <c r="Q36" i="96"/>
  <c r="Q65" i="96"/>
  <c r="S65" i="96"/>
  <c r="AF62" i="96"/>
  <c r="R36" i="96"/>
  <c r="J16" i="79"/>
  <c r="B22" i="79"/>
  <c r="B23" i="79" s="1"/>
  <c r="Z36" i="96"/>
  <c r="AB36" i="96"/>
  <c r="AF52" i="96"/>
  <c r="AF58" i="96"/>
  <c r="AG57" i="96"/>
  <c r="U36" i="96"/>
  <c r="AF63" i="96"/>
  <c r="AF55" i="96"/>
  <c r="AG54" i="96"/>
  <c r="V36" i="96"/>
  <c r="Y36" i="96"/>
  <c r="AF51" i="96"/>
  <c r="AC36" i="96"/>
  <c r="AF64" i="96"/>
  <c r="AG53" i="96"/>
  <c r="AD36" i="96"/>
  <c r="AF60" i="96"/>
  <c r="N65" i="96"/>
  <c r="W36" i="96"/>
  <c r="AG48" i="96"/>
  <c r="AF50" i="96"/>
  <c r="AA36" i="96"/>
  <c r="S36" i="96"/>
  <c r="T36" i="96"/>
  <c r="AG56" i="96"/>
  <c r="B53" i="79"/>
  <c r="B54" i="79" s="1"/>
  <c r="B56" i="79" s="1"/>
  <c r="AF56" i="96"/>
  <c r="AF53" i="96"/>
  <c r="AG52" i="96"/>
  <c r="AF54" i="96"/>
  <c r="AF49" i="96"/>
  <c r="AG49" i="96"/>
  <c r="F45" i="79"/>
  <c r="J45" i="79"/>
  <c r="F22" i="79"/>
  <c r="F16" i="79"/>
  <c r="AF65" i="96" l="1"/>
  <c r="B26" i="79"/>
  <c r="B32" i="79" s="1"/>
  <c r="AF59" i="96"/>
  <c r="AG59" i="96"/>
  <c r="AG65" i="96" s="1"/>
  <c r="F8" i="102" l="1"/>
  <c r="G16" i="109" s="1"/>
  <c r="L18" i="107"/>
  <c r="L17" i="107"/>
  <c r="L16" i="107"/>
  <c r="L15" i="107"/>
  <c r="L13" i="107"/>
  <c r="L12" i="107"/>
  <c r="L11" i="107"/>
  <c r="L10" i="107"/>
  <c r="L9" i="107"/>
  <c r="L8" i="107"/>
  <c r="L7" i="107"/>
  <c r="M6" i="107"/>
  <c r="M7" i="107" s="1"/>
  <c r="M8" i="107" s="1"/>
  <c r="I18" i="107"/>
  <c r="I17" i="107"/>
  <c r="I16" i="107"/>
  <c r="I15" i="107"/>
  <c r="I14" i="107"/>
  <c r="I13" i="107"/>
  <c r="I12" i="107"/>
  <c r="I11" i="107"/>
  <c r="I10" i="107"/>
  <c r="I9" i="107"/>
  <c r="I8" i="107"/>
  <c r="I7" i="107"/>
  <c r="I6" i="107"/>
  <c r="J6" i="107"/>
  <c r="F18" i="107"/>
  <c r="F17" i="107"/>
  <c r="F16" i="107"/>
  <c r="F15" i="107"/>
  <c r="F14" i="107"/>
  <c r="F13" i="107"/>
  <c r="F12" i="107"/>
  <c r="F11" i="107"/>
  <c r="F10" i="107"/>
  <c r="F9" i="107"/>
  <c r="F8" i="107"/>
  <c r="F7" i="107"/>
  <c r="L6" i="107"/>
  <c r="F6" i="107"/>
  <c r="G20" i="107" l="1"/>
  <c r="I20" i="107"/>
  <c r="J20" i="107"/>
  <c r="G8" i="102"/>
  <c r="H16" i="109" s="1"/>
  <c r="J22" i="107"/>
  <c r="E8" i="102" s="1"/>
  <c r="F16" i="109" s="1"/>
  <c r="G22" i="107"/>
  <c r="D8" i="102" s="1"/>
  <c r="E16" i="109" s="1"/>
  <c r="F20" i="107"/>
  <c r="H22" i="58"/>
  <c r="G23" i="105" l="1"/>
  <c r="D34" i="105"/>
  <c r="H19" i="69" l="1"/>
  <c r="H23" i="69" s="1"/>
  <c r="G19" i="69"/>
  <c r="G23" i="69" s="1"/>
  <c r="F19" i="69"/>
  <c r="F23" i="69" s="1"/>
  <c r="E40" i="68"/>
  <c r="D40" i="68"/>
  <c r="H38" i="68"/>
  <c r="H40" i="68" s="1"/>
  <c r="G38" i="68"/>
  <c r="G40" i="68" s="1"/>
  <c r="F38" i="68"/>
  <c r="F40" i="68" s="1"/>
  <c r="H36" i="67"/>
  <c r="G36" i="67"/>
  <c r="F36" i="67"/>
  <c r="E36" i="67"/>
  <c r="D36" i="67"/>
  <c r="M10" i="65" l="1"/>
  <c r="G20" i="105"/>
  <c r="L10" i="65"/>
  <c r="D20" i="105"/>
  <c r="D28" i="105"/>
  <c r="G28" i="105"/>
  <c r="E22" i="58"/>
  <c r="D23" i="105" l="1"/>
  <c r="E10" i="106"/>
  <c r="D10" i="106"/>
  <c r="K16" i="2"/>
  <c r="H16" i="2"/>
  <c r="D46" i="79" s="1"/>
  <c r="E16" i="2"/>
  <c r="D17" i="79" s="1"/>
  <c r="F31" i="105"/>
  <c r="G8" i="105"/>
  <c r="D8" i="105"/>
  <c r="C8" i="105"/>
  <c r="H6" i="105"/>
  <c r="E6" i="105"/>
  <c r="F4" i="105"/>
  <c r="C4" i="105"/>
  <c r="D11" i="106" l="1"/>
  <c r="C17" i="105"/>
  <c r="E8" i="105"/>
  <c r="C31" i="105"/>
  <c r="H8" i="105"/>
  <c r="F8" i="105"/>
  <c r="F17" i="105" s="1"/>
  <c r="F32" i="105" s="1"/>
  <c r="F38" i="105" s="1"/>
  <c r="F44" i="105" s="1"/>
  <c r="I28" i="101"/>
  <c r="H28" i="101"/>
  <c r="G28" i="101"/>
  <c r="F28" i="101"/>
  <c r="E28" i="101"/>
  <c r="G13" i="101"/>
  <c r="G11" i="101"/>
  <c r="F11" i="101"/>
  <c r="E11" i="101"/>
  <c r="C32" i="105" l="1"/>
  <c r="C38" i="105" s="1"/>
  <c r="C44" i="105" s="1"/>
  <c r="E10" i="102" l="1"/>
  <c r="F10" i="102" s="1"/>
  <c r="F26" i="101"/>
  <c r="E26" i="101"/>
  <c r="I26" i="101"/>
  <c r="H26" i="101"/>
  <c r="G26" i="101"/>
  <c r="G14" i="101"/>
  <c r="D10" i="102"/>
  <c r="G29" i="101" l="1"/>
  <c r="I10" i="102"/>
  <c r="J10" i="102"/>
  <c r="H29" i="101"/>
  <c r="K10" i="102"/>
  <c r="I29" i="101"/>
  <c r="G10" i="102"/>
  <c r="E29" i="101"/>
  <c r="H10" i="102"/>
  <c r="F29" i="101"/>
  <c r="K20" i="2"/>
  <c r="H20" i="2"/>
  <c r="D50" i="79" s="1"/>
  <c r="E20" i="2"/>
  <c r="D21" i="79" s="1"/>
  <c r="E22" i="14"/>
  <c r="F32" i="3"/>
  <c r="E32" i="3"/>
  <c r="E10" i="104"/>
  <c r="F33" i="3" s="1"/>
  <c r="F12" i="101" s="1"/>
  <c r="F13" i="101" s="1"/>
  <c r="F14" i="101" s="1"/>
  <c r="D10" i="104"/>
  <c r="E33" i="3" s="1"/>
  <c r="E9" i="104"/>
  <c r="D9" i="104"/>
  <c r="H19" i="3"/>
  <c r="E19" i="3"/>
  <c r="K18" i="3"/>
  <c r="K19" i="3" s="1"/>
  <c r="H18" i="3"/>
  <c r="E18" i="3"/>
  <c r="F20" i="2" l="1"/>
  <c r="E12" i="101"/>
  <c r="E13" i="101" s="1"/>
  <c r="E14" i="101" s="1"/>
  <c r="H57" i="3"/>
  <c r="H58" i="3" s="1"/>
  <c r="G57" i="3"/>
  <c r="G58" i="3" s="1"/>
  <c r="F57" i="3"/>
  <c r="F58" i="3" s="1"/>
  <c r="E57" i="3"/>
  <c r="E58" i="3" s="1"/>
  <c r="D57" i="3"/>
  <c r="D58" i="3" s="1"/>
  <c r="I20" i="3"/>
  <c r="F22" i="3"/>
  <c r="I22" i="3"/>
  <c r="J13" i="3"/>
  <c r="J21" i="3" s="1"/>
  <c r="G13" i="3"/>
  <c r="G21" i="3" s="1"/>
  <c r="M20" i="58"/>
  <c r="K20" i="58"/>
  <c r="H20" i="58"/>
  <c r="E20" i="58"/>
  <c r="E13" i="58"/>
  <c r="E11" i="3"/>
  <c r="E36" i="3" s="1"/>
  <c r="L15" i="3"/>
  <c r="I15" i="3"/>
  <c r="F15" i="3"/>
  <c r="D15" i="3"/>
  <c r="G11" i="3" s="1"/>
  <c r="G20" i="3" s="1"/>
  <c r="E40" i="77"/>
  <c r="J17" i="77"/>
  <c r="H17" i="77"/>
  <c r="F17" i="77"/>
  <c r="N14" i="90"/>
  <c r="I14" i="90"/>
  <c r="F14" i="90"/>
  <c r="E14" i="90"/>
  <c r="D14" i="90"/>
  <c r="J16" i="58"/>
  <c r="G16" i="58"/>
  <c r="D16" i="58"/>
  <c r="B12" i="2"/>
  <c r="B13" i="2" s="1"/>
  <c r="B14" i="2" s="1"/>
  <c r="B15" i="2" s="1"/>
  <c r="B16" i="2" s="1"/>
  <c r="B17" i="2" s="1"/>
  <c r="B18" i="2" s="1"/>
  <c r="B19" i="2" s="1"/>
  <c r="B20" i="2" s="1"/>
  <c r="B21" i="2" s="1"/>
  <c r="B22" i="2" s="1"/>
  <c r="M12" i="65"/>
  <c r="L12" i="65"/>
  <c r="I12" i="65"/>
  <c r="F12" i="65"/>
  <c r="M11" i="65"/>
  <c r="L11" i="65"/>
  <c r="I11" i="65"/>
  <c r="F11" i="65"/>
  <c r="N10" i="65"/>
  <c r="I10" i="65"/>
  <c r="F10" i="65"/>
  <c r="G22" i="3" l="1"/>
  <c r="D27" i="79"/>
  <c r="D26" i="79" s="1"/>
  <c r="E14" i="77"/>
  <c r="E21" i="79"/>
  <c r="G20" i="2"/>
  <c r="D17" i="58"/>
  <c r="D19" i="58" s="1"/>
  <c r="G15" i="3"/>
  <c r="J11" i="3" s="1"/>
  <c r="D21" i="3"/>
  <c r="H18" i="2"/>
  <c r="D48" i="79" s="1"/>
  <c r="J20" i="3"/>
  <c r="J22" i="3" s="1"/>
  <c r="K18" i="2" s="1"/>
  <c r="J15" i="3"/>
  <c r="E20" i="3"/>
  <c r="F14" i="77"/>
  <c r="E27" i="79"/>
  <c r="D5" i="105"/>
  <c r="D4" i="105" s="1"/>
  <c r="E4" i="105" s="1"/>
  <c r="B23" i="2"/>
  <c r="B24" i="2" s="1"/>
  <c r="B25" i="2" s="1"/>
  <c r="I13" i="65"/>
  <c r="D20" i="3"/>
  <c r="N12" i="65"/>
  <c r="N11" i="65"/>
  <c r="N21" i="98"/>
  <c r="M21" i="98"/>
  <c r="N20" i="98"/>
  <c r="M20" i="98"/>
  <c r="N19" i="98"/>
  <c r="M19" i="98"/>
  <c r="N18" i="98"/>
  <c r="M18" i="98"/>
  <c r="N17" i="98"/>
  <c r="M17" i="98"/>
  <c r="N16" i="98"/>
  <c r="M16" i="98"/>
  <c r="J21" i="98"/>
  <c r="J20" i="98"/>
  <c r="J19" i="98"/>
  <c r="J18" i="98"/>
  <c r="J17" i="98"/>
  <c r="J16" i="98"/>
  <c r="I21" i="98"/>
  <c r="I20" i="98"/>
  <c r="I19" i="98"/>
  <c r="I18" i="98"/>
  <c r="I16" i="98"/>
  <c r="I17" i="98"/>
  <c r="R37" i="98"/>
  <c r="R36" i="98"/>
  <c r="R35" i="98"/>
  <c r="R34" i="98"/>
  <c r="R33" i="98"/>
  <c r="R32" i="98"/>
  <c r="N37" i="98"/>
  <c r="N36" i="98"/>
  <c r="N35" i="98"/>
  <c r="N34" i="98"/>
  <c r="N33" i="98"/>
  <c r="N32" i="98"/>
  <c r="I10" i="2" l="1"/>
  <c r="J13" i="65"/>
  <c r="D22" i="3"/>
  <c r="E18" i="2" s="1"/>
  <c r="D19" i="79" s="1"/>
  <c r="D10" i="108"/>
  <c r="D12" i="108" s="1"/>
  <c r="F21" i="79"/>
  <c r="J21" i="79"/>
  <c r="G13" i="58"/>
  <c r="G17" i="58" s="1"/>
  <c r="B26" i="2"/>
  <c r="D21" i="58"/>
  <c r="D23" i="58" s="1"/>
  <c r="E13" i="2" s="1"/>
  <c r="D14" i="79" s="1"/>
  <c r="E26" i="79"/>
  <c r="F26" i="79" s="1"/>
  <c r="F27" i="79"/>
  <c r="J27" i="79"/>
  <c r="J26" i="79" s="1"/>
  <c r="E5" i="109" s="1"/>
  <c r="E13" i="109" s="1"/>
  <c r="E40" i="79"/>
  <c r="R67" i="98"/>
  <c r="R100" i="98" s="1"/>
  <c r="R72" i="98"/>
  <c r="R105" i="98" s="1"/>
  <c r="R71" i="98"/>
  <c r="R104" i="98" s="1"/>
  <c r="R70" i="98"/>
  <c r="R103" i="98" s="1"/>
  <c r="R69" i="98"/>
  <c r="R102" i="98" s="1"/>
  <c r="R68" i="98"/>
  <c r="R101" i="98" s="1"/>
  <c r="Q67" i="98"/>
  <c r="N72" i="98"/>
  <c r="N105" i="98" s="1"/>
  <c r="N71" i="98"/>
  <c r="N104" i="98" s="1"/>
  <c r="N70" i="98"/>
  <c r="N103" i="98" s="1"/>
  <c r="N69" i="98"/>
  <c r="N102" i="98" s="1"/>
  <c r="N68" i="98"/>
  <c r="N101" i="98" s="1"/>
  <c r="N67" i="98"/>
  <c r="N100" i="98" s="1"/>
  <c r="M67" i="98"/>
  <c r="J72" i="98"/>
  <c r="J71" i="98"/>
  <c r="J70" i="98"/>
  <c r="J69" i="98"/>
  <c r="J68" i="98"/>
  <c r="J67" i="98"/>
  <c r="I67" i="98"/>
  <c r="F72" i="98"/>
  <c r="F71" i="98"/>
  <c r="F70" i="98"/>
  <c r="F69" i="98"/>
  <c r="F68" i="98"/>
  <c r="F67" i="98"/>
  <c r="E67" i="98"/>
  <c r="R55" i="98"/>
  <c r="R54" i="98"/>
  <c r="R53" i="98"/>
  <c r="R52" i="98"/>
  <c r="R51" i="98"/>
  <c r="R50" i="98"/>
  <c r="Q50" i="98"/>
  <c r="N55" i="98"/>
  <c r="N89" i="98" s="1"/>
  <c r="N54" i="98"/>
  <c r="N88" i="98" s="1"/>
  <c r="N53" i="98"/>
  <c r="N87" i="98" s="1"/>
  <c r="N52" i="98"/>
  <c r="N86" i="98" s="1"/>
  <c r="N51" i="98"/>
  <c r="N85" i="98" s="1"/>
  <c r="N50" i="98"/>
  <c r="N84" i="98" s="1"/>
  <c r="M50" i="98"/>
  <c r="M84" i="98" s="1"/>
  <c r="J55" i="98"/>
  <c r="J89" i="98" s="1"/>
  <c r="J54" i="98"/>
  <c r="J88" i="98" s="1"/>
  <c r="J53" i="98"/>
  <c r="J87" i="98" s="1"/>
  <c r="J52" i="98"/>
  <c r="J86" i="98" s="1"/>
  <c r="J51" i="98"/>
  <c r="J85" i="98" s="1"/>
  <c r="J50" i="98"/>
  <c r="J84" i="98" s="1"/>
  <c r="I50" i="98"/>
  <c r="I84" i="98" s="1"/>
  <c r="F55" i="98"/>
  <c r="F54" i="98"/>
  <c r="F53" i="98"/>
  <c r="F52" i="98"/>
  <c r="F51" i="98"/>
  <c r="F50" i="98"/>
  <c r="E50" i="98"/>
  <c r="R39" i="98"/>
  <c r="N39" i="98"/>
  <c r="N23" i="98"/>
  <c r="M23" i="98"/>
  <c r="J23" i="98"/>
  <c r="I23" i="98"/>
  <c r="Q37" i="98"/>
  <c r="Q36" i="98"/>
  <c r="Q35" i="98"/>
  <c r="Q34" i="98"/>
  <c r="Q33" i="98"/>
  <c r="Q32" i="98"/>
  <c r="M37" i="98"/>
  <c r="M36" i="98"/>
  <c r="M35" i="98"/>
  <c r="M34" i="98"/>
  <c r="M33" i="98"/>
  <c r="M32" i="98"/>
  <c r="J37" i="98"/>
  <c r="J36" i="98"/>
  <c r="J104" i="98" s="1"/>
  <c r="J35" i="98"/>
  <c r="J103" i="98" s="1"/>
  <c r="J34" i="98"/>
  <c r="J102" i="98" s="1"/>
  <c r="J33" i="98"/>
  <c r="J32" i="98"/>
  <c r="I37" i="98"/>
  <c r="I36" i="98"/>
  <c r="I35" i="98"/>
  <c r="I34" i="98"/>
  <c r="I33" i="98"/>
  <c r="I32" i="98"/>
  <c r="F37" i="98"/>
  <c r="F36" i="98"/>
  <c r="F35" i="98"/>
  <c r="F34" i="98"/>
  <c r="F33" i="98"/>
  <c r="F32" i="98"/>
  <c r="E37" i="98"/>
  <c r="E36" i="98"/>
  <c r="E35" i="98"/>
  <c r="E34" i="98"/>
  <c r="E33" i="98"/>
  <c r="E32" i="98"/>
  <c r="B101" i="98"/>
  <c r="B102" i="98" s="1"/>
  <c r="B103" i="98" s="1"/>
  <c r="B104" i="98" s="1"/>
  <c r="B105" i="98" s="1"/>
  <c r="B85" i="98"/>
  <c r="B86" i="98" s="1"/>
  <c r="B87" i="98" s="1"/>
  <c r="B88" i="98" s="1"/>
  <c r="B89" i="98" s="1"/>
  <c r="B68" i="98"/>
  <c r="B69" i="98" s="1"/>
  <c r="B70" i="98" s="1"/>
  <c r="B71" i="98" s="1"/>
  <c r="B72" i="98" s="1"/>
  <c r="B51" i="98"/>
  <c r="B52" i="98" s="1"/>
  <c r="B53" i="98" s="1"/>
  <c r="B54" i="98" s="1"/>
  <c r="B55" i="98" s="1"/>
  <c r="B33" i="98"/>
  <c r="B34" i="98" s="1"/>
  <c r="B35" i="98" s="1"/>
  <c r="B36" i="98" s="1"/>
  <c r="B37" i="98" s="1"/>
  <c r="R21" i="98"/>
  <c r="R20" i="98"/>
  <c r="R19" i="98"/>
  <c r="R18" i="98"/>
  <c r="R86" i="98" s="1"/>
  <c r="R17" i="98"/>
  <c r="R16" i="98"/>
  <c r="Q21" i="98"/>
  <c r="Q20" i="98"/>
  <c r="Q19" i="98"/>
  <c r="Q18" i="98"/>
  <c r="Q17" i="98"/>
  <c r="Q16" i="98"/>
  <c r="F21" i="98"/>
  <c r="E21" i="98"/>
  <c r="F20" i="98"/>
  <c r="E20" i="98"/>
  <c r="F19" i="98"/>
  <c r="E19" i="98"/>
  <c r="F18" i="98"/>
  <c r="E18" i="98"/>
  <c r="F17" i="98"/>
  <c r="E17" i="98"/>
  <c r="F16" i="98"/>
  <c r="E16" i="98"/>
  <c r="B63" i="100"/>
  <c r="B64" i="100" s="1"/>
  <c r="B65" i="100" s="1"/>
  <c r="B66" i="100" s="1"/>
  <c r="B67" i="100" s="1"/>
  <c r="B43" i="100"/>
  <c r="B44" i="100" s="1"/>
  <c r="B45" i="100" s="1"/>
  <c r="B46" i="100" s="1"/>
  <c r="B47" i="100" s="1"/>
  <c r="B20" i="100"/>
  <c r="B21" i="100" s="1"/>
  <c r="B22" i="100" s="1"/>
  <c r="B23" i="100" s="1"/>
  <c r="B24" i="100" s="1"/>
  <c r="V105" i="99"/>
  <c r="U105" i="99"/>
  <c r="Q105" i="99"/>
  <c r="P105" i="99"/>
  <c r="L105" i="99"/>
  <c r="K105" i="99"/>
  <c r="G105" i="99"/>
  <c r="F105" i="99"/>
  <c r="V104" i="99"/>
  <c r="U104" i="99"/>
  <c r="Q104" i="99"/>
  <c r="P104" i="99"/>
  <c r="L104" i="99"/>
  <c r="K104" i="99"/>
  <c r="G104" i="99"/>
  <c r="F104" i="99"/>
  <c r="V103" i="99"/>
  <c r="U103" i="99"/>
  <c r="Q103" i="99"/>
  <c r="P103" i="99"/>
  <c r="L103" i="99"/>
  <c r="K103" i="99"/>
  <c r="G103" i="99"/>
  <c r="F103" i="99"/>
  <c r="V102" i="99"/>
  <c r="V107" i="99" s="1"/>
  <c r="U102" i="99"/>
  <c r="Q102" i="99"/>
  <c r="P102" i="99"/>
  <c r="L102" i="99"/>
  <c r="K102" i="99"/>
  <c r="G102" i="99"/>
  <c r="F102" i="99"/>
  <c r="V101" i="99"/>
  <c r="U101" i="99"/>
  <c r="Q101" i="99"/>
  <c r="P101" i="99"/>
  <c r="L101" i="99"/>
  <c r="K101" i="99"/>
  <c r="G101" i="99"/>
  <c r="F101" i="99"/>
  <c r="V100" i="99"/>
  <c r="U100" i="99"/>
  <c r="T100" i="99"/>
  <c r="Q100" i="99"/>
  <c r="Q107" i="99" s="1"/>
  <c r="P100" i="99"/>
  <c r="P107" i="99" s="1"/>
  <c r="O100" i="99"/>
  <c r="L100" i="99"/>
  <c r="K100" i="99"/>
  <c r="K107" i="99" s="1"/>
  <c r="J100" i="99"/>
  <c r="G100" i="99"/>
  <c r="F100" i="99"/>
  <c r="E100" i="99"/>
  <c r="V89" i="99"/>
  <c r="U89" i="99"/>
  <c r="Q89" i="99"/>
  <c r="P89" i="99"/>
  <c r="L89" i="99"/>
  <c r="K89" i="99"/>
  <c r="G89" i="99"/>
  <c r="F89" i="99"/>
  <c r="V88" i="99"/>
  <c r="U88" i="99"/>
  <c r="Q88" i="99"/>
  <c r="P88" i="99"/>
  <c r="L88" i="99"/>
  <c r="K88" i="99"/>
  <c r="G88" i="99"/>
  <c r="F88" i="99"/>
  <c r="V87" i="99"/>
  <c r="U87" i="99"/>
  <c r="Q87" i="99"/>
  <c r="P87" i="99"/>
  <c r="L87" i="99"/>
  <c r="K87" i="99"/>
  <c r="G87" i="99"/>
  <c r="F87" i="99"/>
  <c r="V86" i="99"/>
  <c r="U86" i="99"/>
  <c r="Q86" i="99"/>
  <c r="P86" i="99"/>
  <c r="L86" i="99"/>
  <c r="K86" i="99"/>
  <c r="G86" i="99"/>
  <c r="F86" i="99"/>
  <c r="V85" i="99"/>
  <c r="U85" i="99"/>
  <c r="Q85" i="99"/>
  <c r="P85" i="99"/>
  <c r="L85" i="99"/>
  <c r="K85" i="99"/>
  <c r="G85" i="99"/>
  <c r="F85" i="99"/>
  <c r="V84" i="99"/>
  <c r="U84" i="99"/>
  <c r="T84" i="99"/>
  <c r="Q84" i="99"/>
  <c r="P84" i="99"/>
  <c r="O84" i="99"/>
  <c r="L84" i="99"/>
  <c r="K84" i="99"/>
  <c r="J84" i="99"/>
  <c r="G84" i="99"/>
  <c r="F84" i="99"/>
  <c r="E84" i="99"/>
  <c r="K6" i="102"/>
  <c r="J6" i="102"/>
  <c r="H8" i="102"/>
  <c r="F40" i="77" s="1"/>
  <c r="I6" i="102"/>
  <c r="H6" i="102"/>
  <c r="G6" i="102"/>
  <c r="F6" i="102"/>
  <c r="E6" i="102"/>
  <c r="D6" i="102"/>
  <c r="AA55" i="99"/>
  <c r="AB55" i="99" s="1"/>
  <c r="AA54" i="99"/>
  <c r="AB54" i="99" s="1"/>
  <c r="AA51" i="99"/>
  <c r="AB51" i="99" s="1"/>
  <c r="D55" i="98"/>
  <c r="D54" i="98"/>
  <c r="B101" i="99"/>
  <c r="B102" i="99" s="1"/>
  <c r="B103" i="99" s="1"/>
  <c r="B104" i="99" s="1"/>
  <c r="B105" i="99" s="1"/>
  <c r="B85" i="99"/>
  <c r="B86" i="99" s="1"/>
  <c r="B87" i="99" s="1"/>
  <c r="B88" i="99" s="1"/>
  <c r="B89" i="99" s="1"/>
  <c r="V74" i="99"/>
  <c r="U74" i="99"/>
  <c r="Q74" i="99"/>
  <c r="P74" i="99"/>
  <c r="L74" i="99"/>
  <c r="K74" i="99"/>
  <c r="G74" i="99"/>
  <c r="F74" i="99"/>
  <c r="B68" i="99"/>
  <c r="B69" i="99" s="1"/>
  <c r="B70" i="99" s="1"/>
  <c r="B71" i="99" s="1"/>
  <c r="B72" i="99" s="1"/>
  <c r="V57" i="99"/>
  <c r="U57" i="99"/>
  <c r="Q57" i="99"/>
  <c r="P57" i="99"/>
  <c r="L57" i="99"/>
  <c r="K57" i="99"/>
  <c r="G57" i="99"/>
  <c r="F57" i="99"/>
  <c r="B51" i="99"/>
  <c r="B52" i="99" s="1"/>
  <c r="B53" i="99" s="1"/>
  <c r="B54" i="99" s="1"/>
  <c r="B55" i="99" s="1"/>
  <c r="V39" i="99"/>
  <c r="U39" i="99"/>
  <c r="T39" i="99"/>
  <c r="Q39" i="99"/>
  <c r="P39" i="99"/>
  <c r="O39" i="99"/>
  <c r="L39" i="99"/>
  <c r="K39" i="99"/>
  <c r="J39" i="99"/>
  <c r="G39" i="99"/>
  <c r="F39" i="99"/>
  <c r="E39" i="99"/>
  <c r="B33" i="99"/>
  <c r="B34" i="99" s="1"/>
  <c r="B35" i="99" s="1"/>
  <c r="B36" i="99" s="1"/>
  <c r="B37" i="99" s="1"/>
  <c r="V23" i="99"/>
  <c r="U23" i="99"/>
  <c r="T23" i="99"/>
  <c r="Q23" i="99"/>
  <c r="P23" i="99"/>
  <c r="O23" i="99"/>
  <c r="M14" i="91" s="1"/>
  <c r="L23" i="99"/>
  <c r="K23" i="99"/>
  <c r="J23" i="99"/>
  <c r="G23" i="99"/>
  <c r="F23" i="99"/>
  <c r="E23" i="99"/>
  <c r="H21" i="99"/>
  <c r="I21" i="99" s="1"/>
  <c r="M21" i="99" s="1"/>
  <c r="N21" i="99" s="1"/>
  <c r="H20" i="99"/>
  <c r="I20" i="99" s="1"/>
  <c r="M20" i="99" s="1"/>
  <c r="N20" i="99" s="1"/>
  <c r="H19" i="99"/>
  <c r="H18" i="99"/>
  <c r="I18" i="99" s="1"/>
  <c r="M18" i="99" s="1"/>
  <c r="N18" i="99" s="1"/>
  <c r="D17" i="98"/>
  <c r="D16" i="98"/>
  <c r="B17" i="99"/>
  <c r="B18" i="99" s="1"/>
  <c r="B19" i="99" s="1"/>
  <c r="B20" i="99" s="1"/>
  <c r="B21" i="99" s="1"/>
  <c r="B17" i="98"/>
  <c r="B18" i="98" s="1"/>
  <c r="B19" i="98" s="1"/>
  <c r="B20" i="98" s="1"/>
  <c r="B21" i="98" s="1"/>
  <c r="N13" i="65"/>
  <c r="O13" i="65" s="1"/>
  <c r="M13" i="65"/>
  <c r="L13" i="65"/>
  <c r="F13" i="65"/>
  <c r="AK39" i="61"/>
  <c r="AG39" i="61"/>
  <c r="AC39" i="61"/>
  <c r="Y39" i="61"/>
  <c r="U39" i="61"/>
  <c r="Q39" i="61"/>
  <c r="L39" i="61"/>
  <c r="G39" i="61"/>
  <c r="H39" i="61" s="1"/>
  <c r="E51" i="61" s="1"/>
  <c r="D39" i="61"/>
  <c r="I39" i="61" s="1"/>
  <c r="I51" i="61" s="1"/>
  <c r="J39" i="61"/>
  <c r="O39" i="61" s="1"/>
  <c r="S39" i="61" s="1"/>
  <c r="M13" i="66"/>
  <c r="AK16" i="61" s="1"/>
  <c r="L13" i="66"/>
  <c r="AG16" i="61" s="1"/>
  <c r="K13" i="66"/>
  <c r="AC16" i="61" s="1"/>
  <c r="J13" i="66"/>
  <c r="I13" i="66"/>
  <c r="U16" i="61" s="1"/>
  <c r="H13" i="66"/>
  <c r="G13" i="66"/>
  <c r="F13" i="66"/>
  <c r="E13" i="66"/>
  <c r="L16" i="61" s="1"/>
  <c r="D13" i="66"/>
  <c r="C2" i="104"/>
  <c r="B60" i="3"/>
  <c r="B61" i="3" s="1"/>
  <c r="B51" i="3"/>
  <c r="B52" i="3" s="1"/>
  <c r="B53" i="3" s="1"/>
  <c r="B54" i="3" s="1"/>
  <c r="F10" i="2" l="1"/>
  <c r="G13" i="65"/>
  <c r="U91" i="99"/>
  <c r="V91" i="99"/>
  <c r="G91" i="99"/>
  <c r="G16" i="61"/>
  <c r="D16" i="61"/>
  <c r="D30" i="61" s="1"/>
  <c r="M39" i="61"/>
  <c r="J51" i="61" s="1"/>
  <c r="L91" i="99"/>
  <c r="R88" i="98"/>
  <c r="Y16" i="61"/>
  <c r="Q16" i="61"/>
  <c r="R16" i="61" s="1"/>
  <c r="O30" i="61" s="1"/>
  <c r="L107" i="99"/>
  <c r="P91" i="99"/>
  <c r="F107" i="99"/>
  <c r="G107" i="99"/>
  <c r="R23" i="98"/>
  <c r="Q91" i="99"/>
  <c r="U107" i="99"/>
  <c r="R85" i="98"/>
  <c r="F89" i="98"/>
  <c r="R87" i="98"/>
  <c r="M16" i="91"/>
  <c r="M12" i="91"/>
  <c r="D5" i="108"/>
  <c r="D7" i="108" s="1"/>
  <c r="F87" i="98"/>
  <c r="H14" i="91"/>
  <c r="H14" i="3"/>
  <c r="F57" i="98"/>
  <c r="F84" i="98"/>
  <c r="E23" i="98"/>
  <c r="E15" i="58" s="1"/>
  <c r="F85" i="98"/>
  <c r="F105" i="98"/>
  <c r="J105" i="98"/>
  <c r="M100" i="98"/>
  <c r="R89" i="98"/>
  <c r="F100" i="98"/>
  <c r="Q100" i="98"/>
  <c r="R74" i="98"/>
  <c r="R84" i="98"/>
  <c r="M39" i="98"/>
  <c r="Q23" i="98"/>
  <c r="O14" i="91" s="1"/>
  <c r="F20" i="115" s="1"/>
  <c r="F31" i="115" s="1"/>
  <c r="M15" i="58" s="1"/>
  <c r="F101" i="98"/>
  <c r="J101" i="98"/>
  <c r="I39" i="98"/>
  <c r="F103" i="98"/>
  <c r="E39" i="98"/>
  <c r="P14" i="91" s="1"/>
  <c r="G20" i="115" s="1"/>
  <c r="G31" i="115" s="1"/>
  <c r="N15" i="58" s="1"/>
  <c r="E100" i="98"/>
  <c r="J39" i="98"/>
  <c r="I100" i="98"/>
  <c r="F102" i="98"/>
  <c r="N74" i="98"/>
  <c r="J74" i="98"/>
  <c r="F104" i="98"/>
  <c r="K12" i="3"/>
  <c r="K13" i="3" s="1"/>
  <c r="K21" i="3" s="1"/>
  <c r="K15" i="58"/>
  <c r="K91" i="99"/>
  <c r="F91" i="99"/>
  <c r="B27" i="2"/>
  <c r="B28" i="2" s="1"/>
  <c r="B29" i="2" s="1"/>
  <c r="B30" i="2" s="1"/>
  <c r="B31" i="2" s="1"/>
  <c r="E16" i="61"/>
  <c r="J16" i="61" s="1"/>
  <c r="O16" i="61" s="1"/>
  <c r="S16" i="61" s="1"/>
  <c r="W16" i="61" s="1"/>
  <c r="I16" i="61"/>
  <c r="I30" i="61" s="1"/>
  <c r="I67" i="61" s="1"/>
  <c r="H9" i="65" s="1"/>
  <c r="H13" i="65" s="1"/>
  <c r="H10" i="2" s="1"/>
  <c r="N16" i="61"/>
  <c r="N30" i="61" s="1"/>
  <c r="N39" i="61"/>
  <c r="N51" i="61" s="1"/>
  <c r="D51" i="61"/>
  <c r="R39" i="61"/>
  <c r="O51" i="61" s="1"/>
  <c r="H16" i="99"/>
  <c r="I16" i="99" s="1"/>
  <c r="M16" i="99" s="1"/>
  <c r="AH52" i="99"/>
  <c r="E52" i="99" s="1"/>
  <c r="E86" i="99" s="1"/>
  <c r="D18" i="98"/>
  <c r="G18" i="98" s="1"/>
  <c r="H18" i="98" s="1"/>
  <c r="K18" i="98" s="1"/>
  <c r="AH51" i="99"/>
  <c r="E51" i="99" s="1"/>
  <c r="E51" i="98" s="1"/>
  <c r="E85" i="98" s="1"/>
  <c r="D2" i="77"/>
  <c r="H17" i="99"/>
  <c r="I17" i="99" s="1"/>
  <c r="M17" i="99" s="1"/>
  <c r="N17" i="99" s="1"/>
  <c r="AE51" i="99" s="1"/>
  <c r="J2" i="90"/>
  <c r="AH53" i="99"/>
  <c r="E53" i="99" s="1"/>
  <c r="E87" i="99" s="1"/>
  <c r="I2" i="58"/>
  <c r="E2" i="94"/>
  <c r="D19" i="98"/>
  <c r="G19" i="98" s="1"/>
  <c r="H19" i="98" s="1"/>
  <c r="K19" i="98" s="1"/>
  <c r="D52" i="98"/>
  <c r="B2" i="65"/>
  <c r="D87" i="99"/>
  <c r="D53" i="98"/>
  <c r="B3" i="61"/>
  <c r="B2" i="66"/>
  <c r="M3" i="73"/>
  <c r="H2" i="74"/>
  <c r="D86" i="99"/>
  <c r="F2" i="100"/>
  <c r="AH50" i="99"/>
  <c r="D21" i="98"/>
  <c r="E11" i="79"/>
  <c r="N20" i="58"/>
  <c r="AE55" i="99"/>
  <c r="AD55" i="99"/>
  <c r="R21" i="99"/>
  <c r="S21" i="99" s="1"/>
  <c r="W21" i="99" s="1"/>
  <c r="D37" i="99" s="1"/>
  <c r="H37" i="99" s="1"/>
  <c r="I37" i="99" s="1"/>
  <c r="M37" i="99" s="1"/>
  <c r="N37" i="99" s="1"/>
  <c r="R37" i="99" s="1"/>
  <c r="S37" i="99" s="1"/>
  <c r="W37" i="99" s="1"/>
  <c r="I19" i="99"/>
  <c r="M19" i="99" s="1"/>
  <c r="N19" i="99" s="1"/>
  <c r="AE54" i="99"/>
  <c r="AD54" i="99"/>
  <c r="R20" i="99"/>
  <c r="S20" i="99" s="1"/>
  <c r="W20" i="99" s="1"/>
  <c r="D36" i="99" s="1"/>
  <c r="H36" i="99" s="1"/>
  <c r="I36" i="99" s="1"/>
  <c r="M36" i="99" s="1"/>
  <c r="N36" i="99" s="1"/>
  <c r="R36" i="99" s="1"/>
  <c r="S36" i="99" s="1"/>
  <c r="W36" i="99" s="1"/>
  <c r="D84" i="99"/>
  <c r="F2" i="98"/>
  <c r="E2" i="79"/>
  <c r="D85" i="99"/>
  <c r="B2" i="2"/>
  <c r="H2" i="99"/>
  <c r="A2" i="96"/>
  <c r="D20" i="98"/>
  <c r="D88" i="98" s="1"/>
  <c r="F2" i="3"/>
  <c r="B2" i="68"/>
  <c r="AH54" i="99"/>
  <c r="E54" i="99" s="1"/>
  <c r="H54" i="99" s="1"/>
  <c r="B2" i="69"/>
  <c r="B2" i="14"/>
  <c r="AH55" i="99"/>
  <c r="E55" i="99" s="1"/>
  <c r="D88" i="99"/>
  <c r="D57" i="99"/>
  <c r="D89" i="99"/>
  <c r="B2" i="67"/>
  <c r="B42" i="3"/>
  <c r="J2" i="91"/>
  <c r="F2" i="101"/>
  <c r="D50" i="98"/>
  <c r="D84" i="98" s="1"/>
  <c r="H50" i="99"/>
  <c r="I50" i="99" s="1"/>
  <c r="G2" i="72"/>
  <c r="J2" i="76"/>
  <c r="D51" i="98"/>
  <c r="H15" i="58"/>
  <c r="H12" i="3"/>
  <c r="R18" i="99"/>
  <c r="S18" i="99" s="1"/>
  <c r="W18" i="99" s="1"/>
  <c r="D34" i="99" s="1"/>
  <c r="H34" i="99" s="1"/>
  <c r="I34" i="99" s="1"/>
  <c r="M34" i="99" s="1"/>
  <c r="N34" i="99" s="1"/>
  <c r="R34" i="99" s="1"/>
  <c r="S34" i="99" s="1"/>
  <c r="W34" i="99" s="1"/>
  <c r="AD52" i="99"/>
  <c r="AE52" i="99"/>
  <c r="G19" i="58"/>
  <c r="J13" i="58"/>
  <c r="I8" i="102"/>
  <c r="F23" i="98"/>
  <c r="J100" i="98"/>
  <c r="Q39" i="98"/>
  <c r="S14" i="91" s="1"/>
  <c r="J20" i="115" s="1"/>
  <c r="J31" i="115" s="1"/>
  <c r="Q15" i="58" s="1"/>
  <c r="F74" i="98"/>
  <c r="E84" i="98"/>
  <c r="F86" i="98"/>
  <c r="N107" i="98"/>
  <c r="R57" i="98"/>
  <c r="F88" i="98"/>
  <c r="F39" i="98"/>
  <c r="Q84" i="98"/>
  <c r="G16" i="98"/>
  <c r="N57" i="98"/>
  <c r="N91" i="98"/>
  <c r="J91" i="98"/>
  <c r="R107" i="98"/>
  <c r="J57" i="98"/>
  <c r="G17" i="98"/>
  <c r="H17" i="98" s="1"/>
  <c r="K17" i="98" s="1"/>
  <c r="AA52" i="99"/>
  <c r="AB52" i="99" s="1"/>
  <c r="AA53" i="99"/>
  <c r="AB53" i="99" s="1"/>
  <c r="D23" i="99"/>
  <c r="V39" i="61"/>
  <c r="S51" i="61" s="1"/>
  <c r="W39" i="61"/>
  <c r="AA39" i="61" s="1"/>
  <c r="AE39" i="61" s="1"/>
  <c r="AI39" i="61" s="1"/>
  <c r="AL39" i="61" s="1"/>
  <c r="AI51" i="61" s="1"/>
  <c r="B33" i="3"/>
  <c r="B21" i="3"/>
  <c r="B22" i="3" s="1"/>
  <c r="B12" i="3"/>
  <c r="B13" i="3" s="1"/>
  <c r="B14" i="3" s="1"/>
  <c r="B15" i="3" s="1"/>
  <c r="B8" i="101"/>
  <c r="B9" i="101" s="1"/>
  <c r="AA16" i="61" l="1"/>
  <c r="Z16" i="61"/>
  <c r="W30" i="61" s="1"/>
  <c r="H16" i="61"/>
  <c r="E30" i="61" s="1"/>
  <c r="E67" i="61" s="1"/>
  <c r="F9" i="65" s="1"/>
  <c r="F12" i="77" s="1"/>
  <c r="M16" i="61"/>
  <c r="J30" i="61" s="1"/>
  <c r="J67" i="61" s="1"/>
  <c r="I9" i="65" s="1"/>
  <c r="H12" i="77" s="1"/>
  <c r="R91" i="98"/>
  <c r="G12" i="77"/>
  <c r="J10" i="2"/>
  <c r="H16" i="91"/>
  <c r="H12" i="91"/>
  <c r="D86" i="98"/>
  <c r="S16" i="91"/>
  <c r="S12" i="91"/>
  <c r="O16" i="91"/>
  <c r="O12" i="91"/>
  <c r="P16" i="91"/>
  <c r="P12" i="91"/>
  <c r="R14" i="91"/>
  <c r="I20" i="115" s="1"/>
  <c r="I31" i="115" s="1"/>
  <c r="P15" i="58" s="1"/>
  <c r="Q14" i="91"/>
  <c r="H20" i="115" s="1"/>
  <c r="H31" i="115" s="1"/>
  <c r="O15" i="58" s="1"/>
  <c r="E14" i="3"/>
  <c r="E14" i="91"/>
  <c r="E16" i="91" s="1"/>
  <c r="H13" i="3"/>
  <c r="H21" i="3" s="1"/>
  <c r="E12" i="3"/>
  <c r="E13" i="3" s="1"/>
  <c r="E21" i="3" s="1"/>
  <c r="E22" i="3" s="1"/>
  <c r="AI50" i="99"/>
  <c r="F37" i="3"/>
  <c r="AF55" i="99"/>
  <c r="F107" i="98"/>
  <c r="G51" i="3"/>
  <c r="G52" i="3" s="1"/>
  <c r="G60" i="3" s="1"/>
  <c r="D51" i="3"/>
  <c r="D52" i="3" s="1"/>
  <c r="D60" i="3" s="1"/>
  <c r="J107" i="98"/>
  <c r="F51" i="3"/>
  <c r="F52" i="3" s="1"/>
  <c r="F60" i="3" s="1"/>
  <c r="H51" i="3"/>
  <c r="H52" i="3" s="1"/>
  <c r="H60" i="3" s="1"/>
  <c r="E51" i="3"/>
  <c r="E52" i="3" s="1"/>
  <c r="E60" i="3" s="1"/>
  <c r="F91" i="98"/>
  <c r="R17" i="99"/>
  <c r="S17" i="99" s="1"/>
  <c r="W17" i="99" s="1"/>
  <c r="H23" i="99"/>
  <c r="G21" i="58"/>
  <c r="G23" i="58" s="1"/>
  <c r="H13" i="2" s="1"/>
  <c r="D43" i="79" s="1"/>
  <c r="AF54" i="99"/>
  <c r="D23" i="98"/>
  <c r="E10" i="76" s="1"/>
  <c r="H51" i="99"/>
  <c r="I51" i="99" s="1"/>
  <c r="I85" i="99" s="1"/>
  <c r="G51" i="98"/>
  <c r="H51" i="98" s="1"/>
  <c r="N67" i="61"/>
  <c r="K9" i="65" s="1"/>
  <c r="K13" i="65" s="1"/>
  <c r="K10" i="2" s="1"/>
  <c r="I12" i="77" s="1"/>
  <c r="D67" i="61"/>
  <c r="E9" i="65" s="1"/>
  <c r="E13" i="65" s="1"/>
  <c r="E10" i="2" s="1"/>
  <c r="G10" i="2" s="1"/>
  <c r="O67" i="61"/>
  <c r="N9" i="65" s="1"/>
  <c r="V16" i="61"/>
  <c r="S30" i="61" s="1"/>
  <c r="S67" i="61" s="1"/>
  <c r="P9" i="65" s="1"/>
  <c r="P13" i="65" s="1"/>
  <c r="P10" i="2" s="1"/>
  <c r="E35" i="77" s="1"/>
  <c r="C10" i="108"/>
  <c r="D40" i="79"/>
  <c r="H40" i="79" s="1"/>
  <c r="AH39" i="61"/>
  <c r="AE51" i="61" s="1"/>
  <c r="AD39" i="61"/>
  <c r="AA51" i="61" s="1"/>
  <c r="Z39" i="61"/>
  <c r="W51" i="61" s="1"/>
  <c r="W67" i="61" s="1"/>
  <c r="Q9" i="65" s="1"/>
  <c r="Q13" i="65" s="1"/>
  <c r="Q10" i="2" s="1"/>
  <c r="AD16" i="61"/>
  <c r="AA30" i="61" s="1"/>
  <c r="AE16" i="61"/>
  <c r="E52" i="98"/>
  <c r="E86" i="98" s="1"/>
  <c r="H52" i="99"/>
  <c r="I52" i="99" s="1"/>
  <c r="AI52" i="99" s="1"/>
  <c r="J52" i="99" s="1"/>
  <c r="M52" i="99" s="1"/>
  <c r="N52" i="99" s="1"/>
  <c r="AJ52" i="99" s="1"/>
  <c r="O52" i="99" s="1"/>
  <c r="AD51" i="99"/>
  <c r="AF51" i="99" s="1"/>
  <c r="E85" i="99"/>
  <c r="D87" i="98"/>
  <c r="E53" i="98"/>
  <c r="E87" i="98" s="1"/>
  <c r="G21" i="98"/>
  <c r="H21" i="98" s="1"/>
  <c r="K21" i="98" s="1"/>
  <c r="L21" i="98" s="1"/>
  <c r="H53" i="99"/>
  <c r="I53" i="99" s="1"/>
  <c r="I87" i="99" s="1"/>
  <c r="D85" i="98"/>
  <c r="D89" i="98"/>
  <c r="I23" i="99"/>
  <c r="O20" i="58"/>
  <c r="AF52" i="99"/>
  <c r="H88" i="99"/>
  <c r="I54" i="99"/>
  <c r="I84" i="99"/>
  <c r="H84" i="99"/>
  <c r="M50" i="99"/>
  <c r="N50" i="99" s="1"/>
  <c r="D91" i="99"/>
  <c r="N16" i="99"/>
  <c r="E57" i="99"/>
  <c r="E55" i="98"/>
  <c r="E89" i="99"/>
  <c r="H55" i="99"/>
  <c r="D57" i="98"/>
  <c r="G50" i="98"/>
  <c r="H50" i="98" s="1"/>
  <c r="K50" i="98" s="1"/>
  <c r="L50" i="98" s="1"/>
  <c r="O50" i="98" s="1"/>
  <c r="AD53" i="99"/>
  <c r="AE53" i="99"/>
  <c r="R19" i="99"/>
  <c r="S19" i="99" s="1"/>
  <c r="W19" i="99" s="1"/>
  <c r="D35" i="99" s="1"/>
  <c r="H35" i="99" s="1"/>
  <c r="I35" i="99" s="1"/>
  <c r="M35" i="99" s="1"/>
  <c r="N35" i="99" s="1"/>
  <c r="R35" i="99" s="1"/>
  <c r="S35" i="99" s="1"/>
  <c r="W35" i="99" s="1"/>
  <c r="E54" i="98"/>
  <c r="E88" i="99"/>
  <c r="M23" i="99"/>
  <c r="G20" i="98"/>
  <c r="J17" i="58"/>
  <c r="J19" i="58" s="1"/>
  <c r="J21" i="58" s="1"/>
  <c r="J8" i="102"/>
  <c r="G40" i="77"/>
  <c r="H16" i="98"/>
  <c r="L17" i="98"/>
  <c r="L18" i="98"/>
  <c r="L19" i="98"/>
  <c r="B14" i="91"/>
  <c r="B15" i="91" s="1"/>
  <c r="B16" i="91" s="1"/>
  <c r="B10" i="76"/>
  <c r="B11" i="76" s="1"/>
  <c r="B12" i="76" s="1"/>
  <c r="N10" i="2" l="1"/>
  <c r="O10" i="2" s="1"/>
  <c r="O9" i="65"/>
  <c r="Q16" i="91"/>
  <c r="Q12" i="91"/>
  <c r="R16" i="91"/>
  <c r="R12" i="91"/>
  <c r="E37" i="3"/>
  <c r="E38" i="3" s="1"/>
  <c r="F18" i="2" s="1"/>
  <c r="F13" i="77"/>
  <c r="F16" i="77" s="1"/>
  <c r="F18" i="77" s="1"/>
  <c r="F14" i="2" s="1"/>
  <c r="E15" i="79" s="1"/>
  <c r="E15" i="3"/>
  <c r="H11" i="3" s="1"/>
  <c r="H15" i="3" s="1"/>
  <c r="K11" i="3" s="1"/>
  <c r="K15" i="3" s="1"/>
  <c r="D50" i="3" s="1"/>
  <c r="F35" i="77"/>
  <c r="L9" i="65"/>
  <c r="L10" i="2" s="1"/>
  <c r="J12" i="77"/>
  <c r="G85" i="98"/>
  <c r="E12" i="77"/>
  <c r="J23" i="58"/>
  <c r="K13" i="2" s="1"/>
  <c r="G52" i="98"/>
  <c r="H52" i="98" s="1"/>
  <c r="H86" i="98" s="1"/>
  <c r="J86" i="99"/>
  <c r="H85" i="99"/>
  <c r="AI51" i="99"/>
  <c r="J51" i="99" s="1"/>
  <c r="I86" i="99"/>
  <c r="I52" i="98"/>
  <c r="I86" i="98" s="1"/>
  <c r="H86" i="99"/>
  <c r="M86" i="99"/>
  <c r="G53" i="98"/>
  <c r="H53" i="98" s="1"/>
  <c r="H87" i="98" s="1"/>
  <c r="M9" i="65"/>
  <c r="M10" i="2" s="1"/>
  <c r="C5" i="108"/>
  <c r="E5" i="108" s="1"/>
  <c r="D11" i="79"/>
  <c r="F40" i="79"/>
  <c r="J40" i="79"/>
  <c r="AI16" i="61"/>
  <c r="AL16" i="61" s="1"/>
  <c r="AI30" i="61" s="1"/>
  <c r="AI67" i="61" s="1"/>
  <c r="T9" i="65" s="1"/>
  <c r="T13" i="65" s="1"/>
  <c r="T10" i="2" s="1"/>
  <c r="I35" i="77" s="1"/>
  <c r="AH16" i="61"/>
  <c r="AE30" i="61" s="1"/>
  <c r="AE67" i="61" s="1"/>
  <c r="S9" i="65" s="1"/>
  <c r="S13" i="65" s="1"/>
  <c r="S10" i="2" s="1"/>
  <c r="H35" i="77" s="1"/>
  <c r="E10" i="108"/>
  <c r="F10" i="108"/>
  <c r="G10" i="108" s="1"/>
  <c r="H10" i="108" s="1"/>
  <c r="AA67" i="61"/>
  <c r="R9" i="65" s="1"/>
  <c r="R13" i="65" s="1"/>
  <c r="R10" i="2" s="1"/>
  <c r="G35" i="77" s="1"/>
  <c r="AI53" i="99"/>
  <c r="J53" i="99" s="1"/>
  <c r="M53" i="99" s="1"/>
  <c r="N53" i="99" s="1"/>
  <c r="N87" i="99" s="1"/>
  <c r="D91" i="98"/>
  <c r="G23" i="98"/>
  <c r="E12" i="76" s="1"/>
  <c r="H57" i="99"/>
  <c r="G84" i="98"/>
  <c r="H87" i="99"/>
  <c r="AG52" i="99"/>
  <c r="M84" i="99"/>
  <c r="E91" i="99"/>
  <c r="AJ50" i="99"/>
  <c r="Q20" i="58"/>
  <c r="P20" i="58"/>
  <c r="I55" i="99"/>
  <c r="H89" i="99"/>
  <c r="H20" i="98"/>
  <c r="H23" i="98" s="1"/>
  <c r="H10" i="76" s="1"/>
  <c r="G55" i="98"/>
  <c r="E89" i="98"/>
  <c r="I88" i="99"/>
  <c r="AI54" i="99"/>
  <c r="J54" i="99" s="1"/>
  <c r="M54" i="99" s="1"/>
  <c r="AE50" i="99"/>
  <c r="AD50" i="99"/>
  <c r="N84" i="99"/>
  <c r="R16" i="99"/>
  <c r="AF53" i="99"/>
  <c r="N23" i="99"/>
  <c r="G54" i="98"/>
  <c r="G88" i="98" s="1"/>
  <c r="E57" i="98"/>
  <c r="F12" i="2" s="1"/>
  <c r="E13" i="79" s="1"/>
  <c r="E88" i="98"/>
  <c r="K8" i="102"/>
  <c r="I40" i="77" s="1"/>
  <c r="H40" i="77"/>
  <c r="M52" i="98"/>
  <c r="O86" i="99"/>
  <c r="K16" i="98"/>
  <c r="H84" i="98"/>
  <c r="H85" i="98"/>
  <c r="D33" i="99"/>
  <c r="O19" i="98"/>
  <c r="O21" i="98"/>
  <c r="O18" i="98"/>
  <c r="O17" i="98"/>
  <c r="R52" i="99"/>
  <c r="N86" i="99"/>
  <c r="P50" i="98"/>
  <c r="R50" i="99"/>
  <c r="T39" i="88"/>
  <c r="B23" i="77"/>
  <c r="B24" i="77" s="1"/>
  <c r="B44" i="77"/>
  <c r="B45" i="77" s="1"/>
  <c r="B36" i="77"/>
  <c r="B37" i="77" s="1"/>
  <c r="B38" i="77" s="1"/>
  <c r="B39" i="77" s="1"/>
  <c r="B40" i="77" s="1"/>
  <c r="B41" i="77" s="1"/>
  <c r="B13" i="77"/>
  <c r="B14" i="77" s="1"/>
  <c r="B15" i="77" s="1"/>
  <c r="B16" i="77" s="1"/>
  <c r="B17" i="77" s="1"/>
  <c r="B18" i="77" s="1"/>
  <c r="B104" i="58"/>
  <c r="B105" i="58" s="1"/>
  <c r="B106" i="58" s="1"/>
  <c r="B107" i="58" s="1"/>
  <c r="B108" i="58" s="1"/>
  <c r="B109" i="58" s="1"/>
  <c r="B110" i="58" s="1"/>
  <c r="B90" i="58"/>
  <c r="B91" i="58" s="1"/>
  <c r="B92" i="58" s="1"/>
  <c r="B93" i="58" s="1"/>
  <c r="B94" i="58" s="1"/>
  <c r="B95" i="58" s="1"/>
  <c r="B96" i="58" s="1"/>
  <c r="B81" i="58"/>
  <c r="B82" i="58" s="1"/>
  <c r="B83" i="58" s="1"/>
  <c r="B84" i="58" s="1"/>
  <c r="B85" i="58" s="1"/>
  <c r="B86" i="58" s="1"/>
  <c r="B87" i="58" s="1"/>
  <c r="B56" i="58"/>
  <c r="B57" i="58" s="1"/>
  <c r="B58" i="58" s="1"/>
  <c r="B59" i="58" s="1"/>
  <c r="B60" i="58" s="1"/>
  <c r="B61" i="58" s="1"/>
  <c r="B62" i="58" s="1"/>
  <c r="B42" i="58"/>
  <c r="B43" i="58" s="1"/>
  <c r="B44" i="58" s="1"/>
  <c r="B45" i="58" s="1"/>
  <c r="B46" i="58" s="1"/>
  <c r="B47" i="58" s="1"/>
  <c r="B48" i="58" s="1"/>
  <c r="B33" i="58"/>
  <c r="B34" i="58" s="1"/>
  <c r="B35" i="58" s="1"/>
  <c r="B36" i="58" s="1"/>
  <c r="B37" i="58" s="1"/>
  <c r="B38" i="58" s="1"/>
  <c r="B39" i="58" s="1"/>
  <c r="B12" i="58"/>
  <c r="B13" i="58" s="1"/>
  <c r="B14" i="58" s="1"/>
  <c r="B15" i="58" s="1"/>
  <c r="B16" i="58" s="1"/>
  <c r="B17" i="58" s="1"/>
  <c r="B18" i="58" s="1"/>
  <c r="B70" i="67"/>
  <c r="B71" i="67" s="1"/>
  <c r="B72" i="67" s="1"/>
  <c r="B73" i="67" s="1"/>
  <c r="B64" i="67"/>
  <c r="B65" i="67" s="1"/>
  <c r="B66" i="67" s="1"/>
  <c r="B67" i="67" s="1"/>
  <c r="B58" i="67"/>
  <c r="B59" i="67" s="1"/>
  <c r="B60" i="67" s="1"/>
  <c r="B61" i="67" s="1"/>
  <c r="B52" i="67"/>
  <c r="B53" i="67" s="1"/>
  <c r="B54" i="67" s="1"/>
  <c r="B55" i="67" s="1"/>
  <c r="B13" i="76"/>
  <c r="B14" i="76" s="1"/>
  <c r="B15" i="76" s="1"/>
  <c r="K20" i="3" l="1"/>
  <c r="K22" i="3" s="1"/>
  <c r="N18" i="2" s="1"/>
  <c r="C6" i="108"/>
  <c r="G12" i="2"/>
  <c r="H20" i="3"/>
  <c r="H22" i="3" s="1"/>
  <c r="F36" i="3"/>
  <c r="F38" i="3" s="1"/>
  <c r="I18" i="2" s="1"/>
  <c r="H15" i="79"/>
  <c r="J15" i="79" s="1"/>
  <c r="I6" i="108" s="1"/>
  <c r="G14" i="2"/>
  <c r="O18" i="2"/>
  <c r="J13" i="79"/>
  <c r="E19" i="79"/>
  <c r="J19" i="79" s="1"/>
  <c r="G18" i="2"/>
  <c r="F13" i="79"/>
  <c r="I10" i="108"/>
  <c r="E16" i="77"/>
  <c r="E18" i="77" s="1"/>
  <c r="E14" i="2" s="1"/>
  <c r="D15" i="79" s="1"/>
  <c r="H11" i="79"/>
  <c r="G86" i="98"/>
  <c r="E11" i="76"/>
  <c r="F5" i="108"/>
  <c r="G5" i="108" s="1"/>
  <c r="K52" i="98"/>
  <c r="L52" i="98" s="1"/>
  <c r="L86" i="98" s="1"/>
  <c r="AF50" i="99"/>
  <c r="AJ53" i="99"/>
  <c r="O53" i="99" s="1"/>
  <c r="R53" i="99" s="1"/>
  <c r="S53" i="99" s="1"/>
  <c r="G87" i="98"/>
  <c r="J87" i="99"/>
  <c r="I53" i="98"/>
  <c r="I87" i="98" s="1"/>
  <c r="F11" i="79"/>
  <c r="M87" i="99"/>
  <c r="E91" i="98"/>
  <c r="H91" i="99"/>
  <c r="H13" i="77"/>
  <c r="F16" i="2"/>
  <c r="E14" i="76"/>
  <c r="E16" i="58"/>
  <c r="E17" i="58" s="1"/>
  <c r="E19" i="58" s="1"/>
  <c r="E21" i="58" s="1"/>
  <c r="D27" i="105"/>
  <c r="H55" i="98"/>
  <c r="G89" i="98"/>
  <c r="R84" i="99"/>
  <c r="R23" i="99"/>
  <c r="S16" i="99"/>
  <c r="I89" i="99"/>
  <c r="I91" i="99" s="1"/>
  <c r="AI55" i="99"/>
  <c r="J55" i="99" s="1"/>
  <c r="M55" i="99" s="1"/>
  <c r="I57" i="99"/>
  <c r="N54" i="99"/>
  <c r="M88" i="99"/>
  <c r="H54" i="98"/>
  <c r="H88" i="98" s="1"/>
  <c r="G57" i="98"/>
  <c r="K20" i="98"/>
  <c r="J88" i="99"/>
  <c r="I54" i="98"/>
  <c r="I88" i="98" s="1"/>
  <c r="M18" i="2"/>
  <c r="L18" i="2"/>
  <c r="D59" i="3"/>
  <c r="D61" i="3" s="1"/>
  <c r="P18" i="2" s="1"/>
  <c r="D54" i="3"/>
  <c r="E50" i="3" s="1"/>
  <c r="M86" i="98"/>
  <c r="L16" i="98"/>
  <c r="K84" i="98"/>
  <c r="H33" i="99"/>
  <c r="P21" i="98"/>
  <c r="P18" i="98"/>
  <c r="P17" i="98"/>
  <c r="P19" i="98"/>
  <c r="S52" i="99"/>
  <c r="R86" i="99"/>
  <c r="S50" i="98"/>
  <c r="D67" i="98" s="1"/>
  <c r="G67" i="98" s="1"/>
  <c r="H67" i="98" s="1"/>
  <c r="K67" i="98" s="1"/>
  <c r="L67" i="98" s="1"/>
  <c r="O67" i="98" s="1"/>
  <c r="P67" i="98" s="1"/>
  <c r="S67" i="98" s="1"/>
  <c r="S50" i="99"/>
  <c r="B10" i="44"/>
  <c r="B11" i="44" s="1"/>
  <c r="B12" i="44" s="1"/>
  <c r="B13" i="44" s="1"/>
  <c r="B14" i="44" s="1"/>
  <c r="B15" i="44" s="1"/>
  <c r="E17" i="79" l="1"/>
  <c r="J17" i="79" s="1"/>
  <c r="G16" i="2"/>
  <c r="F19" i="79"/>
  <c r="E48" i="79"/>
  <c r="J18" i="2"/>
  <c r="E17" i="2"/>
  <c r="E19" i="2" s="1"/>
  <c r="E24" i="2" s="1"/>
  <c r="E31" i="2" s="1"/>
  <c r="J48" i="79"/>
  <c r="F15" i="79"/>
  <c r="J11" i="79"/>
  <c r="F23" i="2"/>
  <c r="G23" i="2" s="1"/>
  <c r="H22" i="14"/>
  <c r="D18" i="79"/>
  <c r="D20" i="79" s="1"/>
  <c r="D23" i="79" s="1"/>
  <c r="K86" i="98"/>
  <c r="AG53" i="99"/>
  <c r="H5" i="108"/>
  <c r="O87" i="99"/>
  <c r="R87" i="99"/>
  <c r="M53" i="98"/>
  <c r="M87" i="98" s="1"/>
  <c r="G91" i="98"/>
  <c r="K53" i="98"/>
  <c r="K87" i="98" s="1"/>
  <c r="O52" i="98"/>
  <c r="P52" i="98" s="1"/>
  <c r="P86" i="98" s="1"/>
  <c r="H9" i="76"/>
  <c r="E15" i="76"/>
  <c r="H13" i="58"/>
  <c r="E23" i="58"/>
  <c r="F13" i="2" s="1"/>
  <c r="G13" i="2" s="1"/>
  <c r="G17" i="2" s="1"/>
  <c r="G19" i="2" s="1"/>
  <c r="D21" i="105"/>
  <c r="N55" i="99"/>
  <c r="M89" i="99"/>
  <c r="L20" i="98"/>
  <c r="L23" i="98" s="1"/>
  <c r="K10" i="76" s="1"/>
  <c r="H89" i="98"/>
  <c r="H91" i="98" s="1"/>
  <c r="W16" i="99"/>
  <c r="S84" i="99"/>
  <c r="S23" i="99"/>
  <c r="N88" i="99"/>
  <c r="AJ54" i="99"/>
  <c r="O54" i="99" s="1"/>
  <c r="K23" i="98"/>
  <c r="H12" i="76" s="1"/>
  <c r="K54" i="98"/>
  <c r="L54" i="98" s="1"/>
  <c r="H57" i="98"/>
  <c r="J89" i="99"/>
  <c r="I55" i="98"/>
  <c r="I89" i="98" s="1"/>
  <c r="E54" i="3"/>
  <c r="F50" i="3" s="1"/>
  <c r="E59" i="3"/>
  <c r="E61" i="3" s="1"/>
  <c r="Q18" i="2" s="1"/>
  <c r="O16" i="98"/>
  <c r="L84" i="98"/>
  <c r="S87" i="99"/>
  <c r="I33" i="99"/>
  <c r="S17" i="98"/>
  <c r="S19" i="98"/>
  <c r="S18" i="98"/>
  <c r="S21" i="98"/>
  <c r="S86" i="99"/>
  <c r="W50" i="99"/>
  <c r="B16" i="44"/>
  <c r="B17" i="44" s="1"/>
  <c r="B18" i="44" s="1"/>
  <c r="B19" i="44" s="1"/>
  <c r="B20" i="44" s="1"/>
  <c r="B21" i="44" s="1"/>
  <c r="B22" i="44" s="1"/>
  <c r="B23" i="44" s="1"/>
  <c r="B24" i="44" s="1"/>
  <c r="B25" i="44" s="1"/>
  <c r="B26" i="44" s="1"/>
  <c r="B27" i="44" s="1"/>
  <c r="B28" i="44" s="1"/>
  <c r="B29" i="44" s="1"/>
  <c r="B30" i="44" s="1"/>
  <c r="B31" i="44" s="1"/>
  <c r="B11" i="69"/>
  <c r="B12" i="69" s="1"/>
  <c r="B13" i="69" s="1"/>
  <c r="B14" i="69" s="1"/>
  <c r="B15" i="69" s="1"/>
  <c r="B16" i="69" s="1"/>
  <c r="B17" i="69" s="1"/>
  <c r="B18" i="69" s="1"/>
  <c r="B19" i="69" s="1"/>
  <c r="B20" i="69" s="1"/>
  <c r="F17" i="79" l="1"/>
  <c r="B21" i="69"/>
  <c r="B22" i="69" s="1"/>
  <c r="B23" i="69" s="1"/>
  <c r="G24" i="2"/>
  <c r="G31" i="2" s="1"/>
  <c r="F48" i="79"/>
  <c r="I5" i="108"/>
  <c r="I20" i="2"/>
  <c r="I16" i="2"/>
  <c r="L53" i="98"/>
  <c r="O53" i="98" s="1"/>
  <c r="H14" i="76"/>
  <c r="H15" i="76" s="1"/>
  <c r="O86" i="98"/>
  <c r="F17" i="2"/>
  <c r="F19" i="2" s="1"/>
  <c r="F24" i="2" s="1"/>
  <c r="F31" i="2" s="1"/>
  <c r="E14" i="79"/>
  <c r="D31" i="105"/>
  <c r="J13" i="77"/>
  <c r="M54" i="98"/>
  <c r="M88" i="98" s="1"/>
  <c r="O88" i="99"/>
  <c r="AG54" i="99"/>
  <c r="N89" i="99"/>
  <c r="AJ55" i="99"/>
  <c r="O55" i="99" s="1"/>
  <c r="D32" i="99"/>
  <c r="W84" i="99"/>
  <c r="W23" i="99"/>
  <c r="AK50" i="99"/>
  <c r="D67" i="99"/>
  <c r="K55" i="98"/>
  <c r="K88" i="98"/>
  <c r="L88" i="98"/>
  <c r="O20" i="98"/>
  <c r="R54" i="99"/>
  <c r="F54" i="3"/>
  <c r="G50" i="3" s="1"/>
  <c r="F59" i="3"/>
  <c r="F61" i="3" s="1"/>
  <c r="R18" i="2" s="1"/>
  <c r="P16" i="98"/>
  <c r="O84" i="98"/>
  <c r="M33" i="99"/>
  <c r="D34" i="98"/>
  <c r="D35" i="98"/>
  <c r="D37" i="98"/>
  <c r="D33" i="98"/>
  <c r="B33" i="44"/>
  <c r="B34" i="44" s="1"/>
  <c r="B35" i="44" s="1"/>
  <c r="B36" i="44" s="1"/>
  <c r="B37" i="44" s="1"/>
  <c r="B38" i="44" s="1"/>
  <c r="B39" i="44" s="1"/>
  <c r="B40" i="44" s="1"/>
  <c r="B41" i="44" s="1"/>
  <c r="B10" i="65"/>
  <c r="B11" i="65" s="1"/>
  <c r="B12" i="65" s="1"/>
  <c r="B13" i="65" s="1"/>
  <c r="E50" i="79" l="1"/>
  <c r="J20" i="2"/>
  <c r="E46" i="79"/>
  <c r="J16" i="2"/>
  <c r="D32" i="79"/>
  <c r="F50" i="79"/>
  <c r="K9" i="76"/>
  <c r="J46" i="79"/>
  <c r="O22" i="14"/>
  <c r="F46" i="79"/>
  <c r="K12" i="14"/>
  <c r="K22" i="14" s="1"/>
  <c r="L12" i="14"/>
  <c r="L22" i="14" s="1"/>
  <c r="M20" i="2" s="1"/>
  <c r="M22" i="14"/>
  <c r="L87" i="98"/>
  <c r="O54" i="98"/>
  <c r="P54" i="98" s="1"/>
  <c r="F14" i="79"/>
  <c r="F18" i="79" s="1"/>
  <c r="F20" i="79" s="1"/>
  <c r="F23" i="79" s="1"/>
  <c r="J14" i="79"/>
  <c r="E18" i="79"/>
  <c r="E20" i="79" s="1"/>
  <c r="E23" i="79" s="1"/>
  <c r="M55" i="98"/>
  <c r="M89" i="98" s="1"/>
  <c r="O89" i="99"/>
  <c r="AG55" i="99"/>
  <c r="R55" i="99"/>
  <c r="S54" i="99"/>
  <c r="S88" i="99" s="1"/>
  <c r="R88" i="99"/>
  <c r="L55" i="98"/>
  <c r="K89" i="98"/>
  <c r="H32" i="99"/>
  <c r="D39" i="99"/>
  <c r="P20" i="98"/>
  <c r="O23" i="98"/>
  <c r="K12" i="76" s="1"/>
  <c r="D100" i="99"/>
  <c r="AL50" i="99"/>
  <c r="H67" i="99"/>
  <c r="I67" i="99" s="1"/>
  <c r="P53" i="98"/>
  <c r="P87" i="98" s="1"/>
  <c r="O87" i="98"/>
  <c r="G54" i="3"/>
  <c r="H50" i="3" s="1"/>
  <c r="G59" i="3"/>
  <c r="G61" i="3" s="1"/>
  <c r="S18" i="2" s="1"/>
  <c r="S16" i="98"/>
  <c r="P84" i="98"/>
  <c r="N33" i="99"/>
  <c r="G33" i="98"/>
  <c r="G37" i="98"/>
  <c r="G35" i="98"/>
  <c r="G34" i="98"/>
  <c r="B30" i="67"/>
  <c r="B31" i="67" s="1"/>
  <c r="B32" i="67" s="1"/>
  <c r="P20" i="2" l="1"/>
  <c r="N20" i="2"/>
  <c r="J50" i="79"/>
  <c r="J18" i="79"/>
  <c r="J20" i="79" s="1"/>
  <c r="L20" i="2"/>
  <c r="P22" i="14"/>
  <c r="K14" i="76"/>
  <c r="M9" i="76" s="1"/>
  <c r="O88" i="98"/>
  <c r="N16" i="2"/>
  <c r="E32" i="79"/>
  <c r="F32" i="79" s="1"/>
  <c r="H100" i="99"/>
  <c r="I32" i="99"/>
  <c r="AM50" i="99" s="1"/>
  <c r="H39" i="99"/>
  <c r="S20" i="98"/>
  <c r="D36" i="98" s="1"/>
  <c r="G36" i="98" s="1"/>
  <c r="H36" i="98" s="1"/>
  <c r="P88" i="98"/>
  <c r="M67" i="99"/>
  <c r="N67" i="99" s="1"/>
  <c r="S55" i="99"/>
  <c r="S89" i="99" s="1"/>
  <c r="R89" i="99"/>
  <c r="P23" i="98"/>
  <c r="M10" i="76" s="1"/>
  <c r="O55" i="98"/>
  <c r="L89" i="98"/>
  <c r="H54" i="3"/>
  <c r="H59" i="3"/>
  <c r="H61" i="3" s="1"/>
  <c r="T18" i="2" s="1"/>
  <c r="D32" i="98"/>
  <c r="S84" i="98"/>
  <c r="R33" i="99"/>
  <c r="H34" i="98"/>
  <c r="H35" i="98"/>
  <c r="H37" i="98"/>
  <c r="H33" i="98"/>
  <c r="Q20" i="2" l="1"/>
  <c r="O20" i="2"/>
  <c r="J23" i="79"/>
  <c r="L16" i="2"/>
  <c r="O16" i="2"/>
  <c r="S23" i="98"/>
  <c r="Q22" i="14"/>
  <c r="M16" i="2"/>
  <c r="K15" i="76"/>
  <c r="E36" i="77"/>
  <c r="M12" i="76"/>
  <c r="O89" i="98"/>
  <c r="P55" i="98"/>
  <c r="P89" i="98" s="1"/>
  <c r="R67" i="99"/>
  <c r="S67" i="99" s="1"/>
  <c r="M32" i="99"/>
  <c r="I100" i="99"/>
  <c r="I39" i="99"/>
  <c r="G32" i="98"/>
  <c r="D100" i="98"/>
  <c r="D39" i="98"/>
  <c r="N10" i="76" s="1"/>
  <c r="S33" i="99"/>
  <c r="K33" i="98"/>
  <c r="K37" i="98"/>
  <c r="K35" i="98"/>
  <c r="K34" i="98"/>
  <c r="K36" i="98"/>
  <c r="J32" i="79" l="1"/>
  <c r="R20" i="2"/>
  <c r="E4" i="109"/>
  <c r="E12" i="109" s="1"/>
  <c r="R22" i="14"/>
  <c r="P16" i="2"/>
  <c r="F36" i="77"/>
  <c r="M14" i="76"/>
  <c r="W67" i="99"/>
  <c r="N32" i="99"/>
  <c r="M100" i="99"/>
  <c r="M39" i="99"/>
  <c r="G100" i="98"/>
  <c r="H32" i="98"/>
  <c r="G39" i="98"/>
  <c r="N12" i="76" s="1"/>
  <c r="Q16" i="2" s="1"/>
  <c r="W33" i="99"/>
  <c r="L36" i="98"/>
  <c r="L34" i="98"/>
  <c r="L37" i="98"/>
  <c r="L35" i="98"/>
  <c r="L33" i="98"/>
  <c r="E7" i="109" l="1"/>
  <c r="S20" i="2"/>
  <c r="S22" i="14"/>
  <c r="M15" i="76"/>
  <c r="N9" i="76"/>
  <c r="N14" i="76" s="1"/>
  <c r="N100" i="99"/>
  <c r="R32" i="99"/>
  <c r="N39" i="99"/>
  <c r="AN50" i="99"/>
  <c r="H100" i="98"/>
  <c r="K32" i="98"/>
  <c r="H39" i="98"/>
  <c r="O10" i="76" s="1"/>
  <c r="O33" i="98"/>
  <c r="O35" i="98"/>
  <c r="O37" i="98"/>
  <c r="O34" i="98"/>
  <c r="O36" i="98"/>
  <c r="T20" i="2" l="1"/>
  <c r="G36" i="77"/>
  <c r="N15" i="76"/>
  <c r="O9" i="76"/>
  <c r="R100" i="99"/>
  <c r="S32" i="99"/>
  <c r="R39" i="99"/>
  <c r="L32" i="98"/>
  <c r="K100" i="98"/>
  <c r="K39" i="98"/>
  <c r="O12" i="76" s="1"/>
  <c r="P36" i="98"/>
  <c r="P35" i="98"/>
  <c r="P34" i="98"/>
  <c r="P37" i="98"/>
  <c r="P33" i="98"/>
  <c r="R16" i="2" l="1"/>
  <c r="O14" i="76"/>
  <c r="P9" i="76" s="1"/>
  <c r="S100" i="99"/>
  <c r="W32" i="99"/>
  <c r="AO50" i="99"/>
  <c r="S39" i="99"/>
  <c r="O32" i="98"/>
  <c r="L100" i="98"/>
  <c r="L39" i="98"/>
  <c r="P10" i="76" s="1"/>
  <c r="S33" i="98"/>
  <c r="S37" i="98"/>
  <c r="S34" i="98"/>
  <c r="S35" i="98"/>
  <c r="S36" i="98"/>
  <c r="O15" i="76" l="1"/>
  <c r="H36" i="77"/>
  <c r="W100" i="99"/>
  <c r="W39" i="99"/>
  <c r="P32" i="98"/>
  <c r="O100" i="98"/>
  <c r="O39" i="98"/>
  <c r="P12" i="76" s="1"/>
  <c r="S16" i="2" l="1"/>
  <c r="P14" i="76"/>
  <c r="S32" i="98"/>
  <c r="P100" i="98"/>
  <c r="P39" i="98"/>
  <c r="Q10" i="76" s="1"/>
  <c r="I36" i="77" l="1"/>
  <c r="P15" i="76"/>
  <c r="Q9" i="76"/>
  <c r="S100" i="98"/>
  <c r="S39" i="98"/>
  <c r="Q12" i="76" s="1"/>
  <c r="T16" i="2" l="1"/>
  <c r="Q14" i="76"/>
  <c r="Q15" i="76" s="1"/>
  <c r="I51" i="98" l="1"/>
  <c r="K51" i="98" s="1"/>
  <c r="K85" i="98" s="1"/>
  <c r="K91" i="98" s="1"/>
  <c r="M51" i="99"/>
  <c r="M85" i="99" s="1"/>
  <c r="M91" i="99" s="1"/>
  <c r="J57" i="99"/>
  <c r="J85" i="99"/>
  <c r="J91" i="99" s="1"/>
  <c r="M57" i="99" l="1"/>
  <c r="I57" i="98"/>
  <c r="I12" i="2" s="1"/>
  <c r="I85" i="98"/>
  <c r="I91" i="98" s="1"/>
  <c r="N51" i="99"/>
  <c r="AJ51" i="99" s="1"/>
  <c r="O51" i="99" s="1"/>
  <c r="AG51" i="99" s="1"/>
  <c r="L51" i="98"/>
  <c r="K57" i="98"/>
  <c r="E42" i="79" l="1"/>
  <c r="J12" i="2"/>
  <c r="F42" i="79"/>
  <c r="J42" i="79"/>
  <c r="H16" i="58"/>
  <c r="H17" i="58" s="1"/>
  <c r="G27" i="105"/>
  <c r="N57" i="99"/>
  <c r="N85" i="99"/>
  <c r="N91" i="99" s="1"/>
  <c r="L57" i="98"/>
  <c r="L85" i="98"/>
  <c r="L91" i="98" s="1"/>
  <c r="M51" i="98"/>
  <c r="M85" i="98" s="1"/>
  <c r="M91" i="98" s="1"/>
  <c r="R51" i="99"/>
  <c r="R57" i="99" s="1"/>
  <c r="O57" i="99"/>
  <c r="O85" i="99"/>
  <c r="O91" i="99" s="1"/>
  <c r="S51" i="99" l="1"/>
  <c r="S57" i="99" s="1"/>
  <c r="H19" i="58"/>
  <c r="H21" i="58" s="1"/>
  <c r="K13" i="58"/>
  <c r="M57" i="98"/>
  <c r="O51" i="98"/>
  <c r="R85" i="99"/>
  <c r="R91" i="99" s="1"/>
  <c r="K16" i="58" l="1"/>
  <c r="K17" i="58" s="1"/>
  <c r="K19" i="58" s="1"/>
  <c r="K21" i="58" s="1"/>
  <c r="K23" i="58" s="1"/>
  <c r="N13" i="2" s="1"/>
  <c r="N12" i="2"/>
  <c r="S85" i="99"/>
  <c r="S91" i="99" s="1"/>
  <c r="H23" i="58"/>
  <c r="I13" i="2" s="1"/>
  <c r="J13" i="2" s="1"/>
  <c r="G21" i="105"/>
  <c r="G31" i="105" s="1"/>
  <c r="O85" i="98"/>
  <c r="O91" i="98" s="1"/>
  <c r="O57" i="98"/>
  <c r="P51" i="98"/>
  <c r="M13" i="58" l="1"/>
  <c r="F7" i="115"/>
  <c r="F30" i="115" s="1"/>
  <c r="O12" i="2"/>
  <c r="M12" i="2"/>
  <c r="L12" i="2"/>
  <c r="O13" i="2"/>
  <c r="E43" i="79"/>
  <c r="M13" i="2"/>
  <c r="L13" i="2"/>
  <c r="P85" i="98"/>
  <c r="P91" i="98" s="1"/>
  <c r="P57" i="98"/>
  <c r="E6" i="108"/>
  <c r="E7" i="108" s="1"/>
  <c r="F6" i="108"/>
  <c r="C7" i="108"/>
  <c r="G6" i="108" l="1"/>
  <c r="G7" i="108" s="1"/>
  <c r="J43" i="79"/>
  <c r="F43" i="79"/>
  <c r="F7" i="108"/>
  <c r="E14" i="109"/>
  <c r="H6" i="108" l="1"/>
  <c r="H7" i="108" s="1"/>
  <c r="F11" i="109"/>
  <c r="E15" i="109"/>
  <c r="E17" i="109" l="1"/>
  <c r="E6" i="109"/>
  <c r="E11" i="106" l="1"/>
  <c r="H14" i="90" l="1"/>
  <c r="E57" i="79" s="1"/>
  <c r="E56" i="79" s="1"/>
  <c r="H14" i="77" l="1"/>
  <c r="G5" i="105"/>
  <c r="G4" i="105" s="1"/>
  <c r="H4" i="105" s="1"/>
  <c r="H16" i="77"/>
  <c r="H18" i="77" s="1"/>
  <c r="I14" i="2" s="1"/>
  <c r="J57" i="79"/>
  <c r="J56" i="79" s="1"/>
  <c r="I17" i="2" l="1"/>
  <c r="I19" i="2" s="1"/>
  <c r="C11" i="108"/>
  <c r="E44" i="79"/>
  <c r="F5" i="109"/>
  <c r="F13" i="109"/>
  <c r="C12" i="108" l="1"/>
  <c r="F11" i="108"/>
  <c r="E11" i="108"/>
  <c r="E12" i="108" s="1"/>
  <c r="E47" i="79"/>
  <c r="E49" i="79" s="1"/>
  <c r="E52" i="79" s="1"/>
  <c r="H44" i="79"/>
  <c r="I23" i="2" s="1"/>
  <c r="I24" i="2" l="1"/>
  <c r="J23" i="2"/>
  <c r="J44" i="79"/>
  <c r="F12" i="108"/>
  <c r="G11" i="108"/>
  <c r="H11" i="108" l="1"/>
  <c r="H12" i="108" s="1"/>
  <c r="G12" i="108"/>
  <c r="I11" i="108"/>
  <c r="J47" i="79"/>
  <c r="J49" i="79" s="1"/>
  <c r="J52" i="79" s="1"/>
  <c r="F23" i="109" l="1"/>
  <c r="F27" i="109"/>
  <c r="E28" i="109" l="1"/>
  <c r="F28" i="109"/>
  <c r="E32" i="109" s="1"/>
  <c r="E33" i="109" l="1"/>
  <c r="F33" i="109" l="1"/>
  <c r="E34" i="109"/>
  <c r="E35" i="109" l="1"/>
  <c r="E37" i="109" s="1"/>
  <c r="E38" i="109" s="1"/>
  <c r="I25" i="2" s="1"/>
  <c r="F31" i="109"/>
  <c r="F34" i="109" s="1"/>
  <c r="F35" i="109" s="1"/>
  <c r="F37" i="109" s="1"/>
  <c r="F38" i="109" s="1"/>
  <c r="N25" i="2" s="1"/>
  <c r="O25" i="2" l="1"/>
  <c r="L25" i="2"/>
  <c r="M25" i="2"/>
  <c r="I31" i="2"/>
  <c r="E53" i="79"/>
  <c r="J25" i="2"/>
  <c r="E54" i="79" l="1"/>
  <c r="E62" i="79" s="1"/>
  <c r="F53" i="79"/>
  <c r="J53" i="79"/>
  <c r="J54" i="79" s="1"/>
  <c r="F4" i="109" l="1"/>
  <c r="J62" i="79"/>
  <c r="F12" i="109"/>
  <c r="F14" i="109" s="1"/>
  <c r="F15" i="109" l="1"/>
  <c r="F17" i="109" s="1"/>
  <c r="G11" i="109"/>
  <c r="G14" i="109" s="1"/>
  <c r="F6" i="109"/>
  <c r="F7" i="109"/>
  <c r="H11" i="109" l="1"/>
  <c r="G15" i="109"/>
  <c r="G17" i="109" s="1"/>
  <c r="H13" i="109" l="1"/>
  <c r="H14" i="109" s="1"/>
  <c r="H15" i="109" s="1"/>
  <c r="H17" i="109" s="1"/>
  <c r="E18" i="109" s="1"/>
  <c r="P29" i="2" s="1"/>
  <c r="F22" i="115" l="1"/>
  <c r="F23" i="115" l="1"/>
  <c r="F25" i="115" s="1"/>
  <c r="G19" i="115"/>
  <c r="G22" i="115" s="1"/>
  <c r="G23" i="115" l="1"/>
  <c r="G25" i="115" s="1"/>
  <c r="H19" i="115"/>
  <c r="H22" i="115" s="1"/>
  <c r="I19" i="115" l="1"/>
  <c r="H23" i="115"/>
  <c r="H25" i="115" s="1"/>
  <c r="I22" i="115" l="1"/>
  <c r="J19" i="115" l="1"/>
  <c r="I23" i="115"/>
  <c r="I25" i="115" s="1"/>
  <c r="J22" i="115"/>
  <c r="J23" i="115" s="1"/>
  <c r="J25" i="115" s="1"/>
  <c r="P26" i="2" l="1" a="1"/>
  <c r="P26" i="2"/>
  <c r="P27" i="2"/>
  <c r="P12" i="2"/>
  <c r="Q12" i="2"/>
  <c r="R12" i="2"/>
  <c r="S12" i="2"/>
  <c r="T12" i="2"/>
  <c r="P13" i="2"/>
  <c r="Q13" i="2"/>
  <c r="R13" i="2"/>
  <c r="S13" i="2"/>
  <c r="T13" i="2"/>
  <c r="H14" i="2"/>
  <c r="J14" i="2"/>
  <c r="K14" i="2"/>
  <c r="L14" i="2"/>
  <c r="M14" i="2"/>
  <c r="N14" i="2"/>
  <c r="O14" i="2"/>
  <c r="P14" i="2"/>
  <c r="Q14" i="2"/>
  <c r="R14" i="2"/>
  <c r="S14" i="2"/>
  <c r="T14" i="2"/>
  <c r="H17" i="2"/>
  <c r="J17" i="2"/>
  <c r="K17" i="2"/>
  <c r="L17" i="2"/>
  <c r="M17" i="2"/>
  <c r="N17" i="2"/>
  <c r="O17" i="2"/>
  <c r="P17" i="2"/>
  <c r="Q17" i="2"/>
  <c r="R17" i="2"/>
  <c r="S17" i="2"/>
  <c r="T17" i="2"/>
  <c r="H19" i="2"/>
  <c r="J19" i="2"/>
  <c r="K19" i="2"/>
  <c r="L19" i="2"/>
  <c r="M19" i="2"/>
  <c r="N19" i="2"/>
  <c r="O19" i="2"/>
  <c r="P19" i="2"/>
  <c r="Q19" i="2"/>
  <c r="R19" i="2"/>
  <c r="S19" i="2"/>
  <c r="T19" i="2"/>
  <c r="H24" i="2"/>
  <c r="J24" i="2"/>
  <c r="K24" i="2"/>
  <c r="L24" i="2"/>
  <c r="M24" i="2"/>
  <c r="N24" i="2"/>
  <c r="O24" i="2"/>
  <c r="P24" i="2"/>
  <c r="Q24" i="2"/>
  <c r="R24" i="2"/>
  <c r="S24" i="2"/>
  <c r="T24" i="2"/>
  <c r="P28" i="2"/>
  <c r="H31" i="2"/>
  <c r="J31" i="2"/>
  <c r="K31" i="2"/>
  <c r="L31" i="2"/>
  <c r="M31" i="2"/>
  <c r="N31" i="2"/>
  <c r="O31" i="2"/>
  <c r="P31" i="2"/>
  <c r="Q31" i="2"/>
  <c r="R31" i="2"/>
  <c r="S31" i="2"/>
  <c r="T31" i="2"/>
  <c r="G10" i="90"/>
  <c r="J10" i="90"/>
  <c r="K10" i="90"/>
  <c r="L10" i="90"/>
  <c r="M10" i="90"/>
  <c r="O10" i="90"/>
  <c r="P10" i="90"/>
  <c r="Q10" i="90"/>
  <c r="R10" i="90"/>
  <c r="S10" i="90"/>
  <c r="G14" i="90"/>
  <c r="J14" i="90"/>
  <c r="K14" i="90"/>
  <c r="L14" i="90"/>
  <c r="M14" i="90"/>
  <c r="O14" i="90"/>
  <c r="P14" i="90"/>
  <c r="Q14" i="90"/>
  <c r="R14" i="90"/>
  <c r="S14" i="90"/>
  <c r="D44" i="79"/>
  <c r="F44" i="79"/>
  <c r="D47" i="79"/>
  <c r="F47" i="79"/>
  <c r="D49" i="79"/>
  <c r="F49" i="79"/>
  <c r="D52" i="79"/>
  <c r="F52" i="79"/>
  <c r="D54" i="79"/>
  <c r="F54" i="79"/>
  <c r="D56" i="79"/>
  <c r="F56" i="79"/>
  <c r="D57" i="79"/>
  <c r="F57" i="79"/>
  <c r="D62" i="79"/>
  <c r="F62" i="79"/>
  <c r="Q51" i="98"/>
  <c r="S51" i="98"/>
  <c r="Q52" i="98"/>
  <c r="S52" i="98"/>
  <c r="Q53" i="98"/>
  <c r="S53" i="98"/>
  <c r="Q54" i="98"/>
  <c r="S54" i="98"/>
  <c r="Q55" i="98"/>
  <c r="S55" i="98"/>
  <c r="Q57" i="98"/>
  <c r="S57" i="98"/>
  <c r="D68" i="98"/>
  <c r="E68" i="98"/>
  <c r="G68" i="98"/>
  <c r="H68" i="98"/>
  <c r="I68" i="98"/>
  <c r="K68" i="98"/>
  <c r="L68" i="98"/>
  <c r="M68" i="98"/>
  <c r="O68" i="98"/>
  <c r="P68" i="98"/>
  <c r="Q68" i="98"/>
  <c r="S68" i="98"/>
  <c r="D69" i="98"/>
  <c r="E69" i="98"/>
  <c r="G69" i="98"/>
  <c r="H69" i="98"/>
  <c r="I69" i="98"/>
  <c r="K69" i="98"/>
  <c r="L69" i="98"/>
  <c r="M69" i="98"/>
  <c r="O69" i="98"/>
  <c r="P69" i="98"/>
  <c r="Q69" i="98"/>
  <c r="S69" i="98"/>
  <c r="D70" i="98"/>
  <c r="E70" i="98"/>
  <c r="G70" i="98"/>
  <c r="H70" i="98"/>
  <c r="I70" i="98"/>
  <c r="K70" i="98"/>
  <c r="L70" i="98"/>
  <c r="M70" i="98"/>
  <c r="O70" i="98"/>
  <c r="P70" i="98"/>
  <c r="Q70" i="98"/>
  <c r="S70" i="98"/>
  <c r="D71" i="98"/>
  <c r="E71" i="98"/>
  <c r="G71" i="98"/>
  <c r="H71" i="98"/>
  <c r="I71" i="98"/>
  <c r="K71" i="98"/>
  <c r="L71" i="98"/>
  <c r="M71" i="98"/>
  <c r="O71" i="98"/>
  <c r="P71" i="98"/>
  <c r="Q71" i="98"/>
  <c r="S71" i="98"/>
  <c r="D72" i="98"/>
  <c r="E72" i="98"/>
  <c r="G72" i="98"/>
  <c r="H72" i="98"/>
  <c r="I72" i="98"/>
  <c r="K72" i="98"/>
  <c r="L72" i="98"/>
  <c r="M72" i="98"/>
  <c r="O72" i="98"/>
  <c r="P72" i="98"/>
  <c r="Q72" i="98"/>
  <c r="S72" i="98"/>
  <c r="D74" i="98"/>
  <c r="E74" i="98"/>
  <c r="G74" i="98"/>
  <c r="H74" i="98"/>
  <c r="I74" i="98"/>
  <c r="K74" i="98"/>
  <c r="L74" i="98"/>
  <c r="M74" i="98"/>
  <c r="O74" i="98"/>
  <c r="P74" i="98"/>
  <c r="Q74" i="98"/>
  <c r="S74" i="98"/>
  <c r="Q85" i="98"/>
  <c r="S85" i="98"/>
  <c r="Q86" i="98"/>
  <c r="S86" i="98"/>
  <c r="Q87" i="98"/>
  <c r="S87" i="98"/>
  <c r="Q88" i="98"/>
  <c r="S88" i="98"/>
  <c r="Q89" i="98"/>
  <c r="S89" i="98"/>
  <c r="Q91" i="98"/>
  <c r="S91" i="98"/>
  <c r="D101" i="98"/>
  <c r="E101" i="98"/>
  <c r="G101" i="98"/>
  <c r="H101" i="98"/>
  <c r="I101" i="98"/>
  <c r="K101" i="98"/>
  <c r="L101" i="98"/>
  <c r="M101" i="98"/>
  <c r="O101" i="98"/>
  <c r="P101" i="98"/>
  <c r="Q101" i="98"/>
  <c r="S101" i="98"/>
  <c r="D102" i="98"/>
  <c r="E102" i="98"/>
  <c r="G102" i="98"/>
  <c r="H102" i="98"/>
  <c r="I102" i="98"/>
  <c r="K102" i="98"/>
  <c r="L102" i="98"/>
  <c r="M102" i="98"/>
  <c r="O102" i="98"/>
  <c r="P102" i="98"/>
  <c r="Q102" i="98"/>
  <c r="S102" i="98"/>
  <c r="D103" i="98"/>
  <c r="E103" i="98"/>
  <c r="G103" i="98"/>
  <c r="H103" i="98"/>
  <c r="I103" i="98"/>
  <c r="K103" i="98"/>
  <c r="L103" i="98"/>
  <c r="M103" i="98"/>
  <c r="O103" i="98"/>
  <c r="P103" i="98"/>
  <c r="Q103" i="98"/>
  <c r="S103" i="98"/>
  <c r="D104" i="98"/>
  <c r="E104" i="98"/>
  <c r="G104" i="98"/>
  <c r="H104" i="98"/>
  <c r="I104" i="98"/>
  <c r="K104" i="98"/>
  <c r="L104" i="98"/>
  <c r="M104" i="98"/>
  <c r="O104" i="98"/>
  <c r="P104" i="98"/>
  <c r="Q104" i="98"/>
  <c r="S104" i="98"/>
  <c r="D105" i="98"/>
  <c r="E105" i="98"/>
  <c r="G105" i="98"/>
  <c r="H105" i="98"/>
  <c r="I105" i="98"/>
  <c r="K105" i="98"/>
  <c r="L105" i="98"/>
  <c r="M105" i="98"/>
  <c r="O105" i="98"/>
  <c r="P105" i="98"/>
  <c r="Q105" i="98"/>
  <c r="S105" i="98"/>
  <c r="D107" i="98"/>
  <c r="E107" i="98"/>
  <c r="G107" i="98"/>
  <c r="H107" i="98"/>
  <c r="I107" i="98"/>
  <c r="K107" i="98"/>
  <c r="L107" i="98"/>
  <c r="M107" i="98"/>
  <c r="O107" i="98"/>
  <c r="P107" i="98"/>
  <c r="Q107" i="98"/>
  <c r="S107" i="98"/>
  <c r="T51" i="99"/>
  <c r="W51" i="99"/>
  <c r="AK51" i="99"/>
  <c r="AL51" i="99"/>
  <c r="AM51" i="99"/>
  <c r="AN51" i="99"/>
  <c r="AO51" i="99"/>
  <c r="T52" i="99"/>
  <c r="W52" i="99"/>
  <c r="AK52" i="99"/>
  <c r="AL52" i="99"/>
  <c r="AM52" i="99"/>
  <c r="AN52" i="99"/>
  <c r="AO52" i="99"/>
  <c r="T53" i="99"/>
  <c r="W53" i="99"/>
  <c r="AK53" i="99"/>
  <c r="AL53" i="99"/>
  <c r="AM53" i="99"/>
  <c r="AN53" i="99"/>
  <c r="AO53" i="99"/>
  <c r="T54" i="99"/>
  <c r="W54" i="99"/>
  <c r="AK54" i="99"/>
  <c r="AL54" i="99"/>
  <c r="AM54" i="99"/>
  <c r="AN54" i="99"/>
  <c r="AO54" i="99"/>
  <c r="T55" i="99"/>
  <c r="W55" i="99"/>
  <c r="AK55" i="99"/>
  <c r="AL55" i="99"/>
  <c r="AM55" i="99"/>
  <c r="AN55" i="99"/>
  <c r="AO55" i="99"/>
  <c r="T57" i="99"/>
  <c r="W57" i="99"/>
  <c r="D68" i="99"/>
  <c r="E68" i="99"/>
  <c r="H68" i="99"/>
  <c r="I68" i="99"/>
  <c r="J68" i="99"/>
  <c r="M68" i="99"/>
  <c r="N68" i="99"/>
  <c r="O68" i="99"/>
  <c r="R68" i="99"/>
  <c r="S68" i="99"/>
  <c r="T68" i="99"/>
  <c r="W68" i="99"/>
  <c r="D69" i="99"/>
  <c r="E69" i="99"/>
  <c r="H69" i="99"/>
  <c r="I69" i="99"/>
  <c r="J69" i="99"/>
  <c r="M69" i="99"/>
  <c r="N69" i="99"/>
  <c r="O69" i="99"/>
  <c r="R69" i="99"/>
  <c r="S69" i="99"/>
  <c r="T69" i="99"/>
  <c r="W69" i="99"/>
  <c r="D70" i="99"/>
  <c r="E70" i="99"/>
  <c r="H70" i="99"/>
  <c r="I70" i="99"/>
  <c r="J70" i="99"/>
  <c r="M70" i="99"/>
  <c r="N70" i="99"/>
  <c r="O70" i="99"/>
  <c r="R70" i="99"/>
  <c r="S70" i="99"/>
  <c r="T70" i="99"/>
  <c r="W70" i="99"/>
  <c r="D71" i="99"/>
  <c r="E71" i="99"/>
  <c r="H71" i="99"/>
  <c r="I71" i="99"/>
  <c r="J71" i="99"/>
  <c r="M71" i="99"/>
  <c r="N71" i="99"/>
  <c r="O71" i="99"/>
  <c r="R71" i="99"/>
  <c r="S71" i="99"/>
  <c r="T71" i="99"/>
  <c r="W71" i="99"/>
  <c r="D72" i="99"/>
  <c r="E72" i="99"/>
  <c r="H72" i="99"/>
  <c r="I72" i="99"/>
  <c r="J72" i="99"/>
  <c r="M72" i="99"/>
  <c r="N72" i="99"/>
  <c r="O72" i="99"/>
  <c r="R72" i="99"/>
  <c r="S72" i="99"/>
  <c r="T72" i="99"/>
  <c r="W72" i="99"/>
  <c r="D74" i="99"/>
  <c r="E74" i="99"/>
  <c r="H74" i="99"/>
  <c r="I74" i="99"/>
  <c r="J74" i="99"/>
  <c r="M74" i="99"/>
  <c r="N74" i="99"/>
  <c r="O74" i="99"/>
  <c r="R74" i="99"/>
  <c r="S74" i="99"/>
  <c r="T74" i="99"/>
  <c r="W74" i="99"/>
  <c r="T85" i="99"/>
  <c r="W85" i="99"/>
  <c r="T86" i="99"/>
  <c r="W86" i="99"/>
  <c r="T87" i="99"/>
  <c r="W87" i="99"/>
  <c r="T88" i="99"/>
  <c r="W88" i="99"/>
  <c r="T89" i="99"/>
  <c r="W89" i="99"/>
  <c r="T91" i="99"/>
  <c r="W91" i="99"/>
  <c r="D101" i="99"/>
  <c r="E101" i="99"/>
  <c r="H101" i="99"/>
  <c r="I101" i="99"/>
  <c r="J101" i="99"/>
  <c r="M101" i="99"/>
  <c r="N101" i="99"/>
  <c r="O101" i="99"/>
  <c r="R101" i="99"/>
  <c r="S101" i="99"/>
  <c r="T101" i="99"/>
  <c r="W101" i="99"/>
  <c r="D102" i="99"/>
  <c r="E102" i="99"/>
  <c r="H102" i="99"/>
  <c r="I102" i="99"/>
  <c r="J102" i="99"/>
  <c r="M102" i="99"/>
  <c r="N102" i="99"/>
  <c r="O102" i="99"/>
  <c r="R102" i="99"/>
  <c r="S102" i="99"/>
  <c r="T102" i="99"/>
  <c r="W102" i="99"/>
  <c r="D103" i="99"/>
  <c r="E103" i="99"/>
  <c r="H103" i="99"/>
  <c r="I103" i="99"/>
  <c r="J103" i="99"/>
  <c r="M103" i="99"/>
  <c r="N103" i="99"/>
  <c r="O103" i="99"/>
  <c r="R103" i="99"/>
  <c r="S103" i="99"/>
  <c r="T103" i="99"/>
  <c r="W103" i="99"/>
  <c r="D104" i="99"/>
  <c r="E104" i="99"/>
  <c r="H104" i="99"/>
  <c r="I104" i="99"/>
  <c r="J104" i="99"/>
  <c r="M104" i="99"/>
  <c r="N104" i="99"/>
  <c r="O104" i="99"/>
  <c r="R104" i="99"/>
  <c r="S104" i="99"/>
  <c r="T104" i="99"/>
  <c r="W104" i="99"/>
  <c r="D105" i="99"/>
  <c r="E105" i="99"/>
  <c r="H105" i="99"/>
  <c r="I105" i="99"/>
  <c r="J105" i="99"/>
  <c r="M105" i="99"/>
  <c r="N105" i="99"/>
  <c r="O105" i="99"/>
  <c r="R105" i="99"/>
  <c r="S105" i="99"/>
  <c r="T105" i="99"/>
  <c r="W105" i="99"/>
  <c r="D107" i="99"/>
  <c r="E107" i="99"/>
  <c r="H107" i="99"/>
  <c r="I107" i="99"/>
  <c r="J107" i="99"/>
  <c r="M107" i="99"/>
  <c r="N107" i="99"/>
  <c r="O107" i="99"/>
  <c r="R107" i="99"/>
  <c r="S107" i="99"/>
  <c r="T107" i="99"/>
  <c r="W107" i="99"/>
  <c r="N13" i="58"/>
  <c r="O13" i="58"/>
  <c r="P13" i="58"/>
  <c r="Q13" i="58"/>
  <c r="M16" i="58"/>
  <c r="N16" i="58"/>
  <c r="O16" i="58"/>
  <c r="P16" i="58"/>
  <c r="Q16" i="58"/>
  <c r="M17" i="58"/>
  <c r="N17" i="58"/>
  <c r="O17" i="58"/>
  <c r="P17" i="58"/>
  <c r="Q17" i="58"/>
  <c r="M19" i="58"/>
  <c r="N19" i="58"/>
  <c r="O19" i="58"/>
  <c r="P19" i="58"/>
  <c r="Q19" i="58"/>
  <c r="M21" i="58"/>
  <c r="N21" i="58"/>
  <c r="O21" i="58"/>
  <c r="P21" i="58"/>
  <c r="Q21" i="58"/>
  <c r="M23" i="58"/>
  <c r="N23" i="58"/>
  <c r="O23" i="58"/>
  <c r="P23" i="58"/>
  <c r="Q23" i="58"/>
  <c r="G14" i="77"/>
  <c r="I14" i="77"/>
  <c r="J14" i="77"/>
  <c r="G16" i="77"/>
  <c r="I16" i="77"/>
  <c r="J16" i="77"/>
  <c r="G18" i="77"/>
  <c r="I18" i="77"/>
  <c r="J18" i="77"/>
  <c r="E37" i="77"/>
  <c r="F37" i="77"/>
  <c r="G37" i="77"/>
  <c r="H37" i="77"/>
  <c r="I37" i="77"/>
  <c r="E39" i="77"/>
  <c r="F39" i="77"/>
  <c r="G39" i="77"/>
  <c r="H39" i="77"/>
  <c r="I39" i="77"/>
  <c r="E41" i="77"/>
  <c r="F41" i="77"/>
  <c r="G41" i="77"/>
  <c r="H41" i="77"/>
  <c r="I41" i="77"/>
  <c r="G4" i="109"/>
  <c r="G5" i="109"/>
  <c r="G6" i="109"/>
  <c r="G7" i="115"/>
  <c r="H7" i="115"/>
  <c r="I7" i="115"/>
  <c r="J7" i="115"/>
  <c r="F9" i="115"/>
  <c r="G9" i="115"/>
  <c r="H9" i="115"/>
  <c r="I9" i="115"/>
  <c r="J9" i="115"/>
  <c r="F10" i="115"/>
  <c r="G10" i="115"/>
  <c r="H10" i="115"/>
  <c r="I10" i="115"/>
  <c r="J10" i="115"/>
  <c r="F11" i="115"/>
  <c r="G11" i="115"/>
  <c r="H11" i="115"/>
  <c r="I11" i="115"/>
  <c r="J11" i="115"/>
  <c r="F13" i="115"/>
  <c r="G13" i="115"/>
  <c r="H13" i="115"/>
  <c r="I13" i="115"/>
  <c r="J13" i="115"/>
  <c r="G30" i="115"/>
  <c r="H30" i="115"/>
  <c r="I30" i="115"/>
  <c r="J30" i="115"/>
  <c r="F32" i="115"/>
  <c r="G32" i="115"/>
  <c r="H32" i="115"/>
  <c r="I32" i="115"/>
  <c r="J32" i="115"/>
  <c r="F33" i="115"/>
  <c r="G33" i="115"/>
  <c r="H33" i="115"/>
  <c r="I33" i="115"/>
  <c r="J33" i="115"/>
  <c r="F34" i="115"/>
  <c r="G34" i="115"/>
  <c r="H34" i="115"/>
  <c r="I34" i="115"/>
  <c r="J34" i="115"/>
  <c r="F35" i="115"/>
  <c r="G35" i="115"/>
  <c r="H35" i="115"/>
  <c r="I35" i="115"/>
  <c r="J35" i="115"/>
  <c r="F36" i="115"/>
  <c r="G36" i="115"/>
  <c r="H36" i="115"/>
  <c r="I36" i="115"/>
  <c r="J36" i="1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JITENDRA BHANUSHALI</author>
  </authors>
  <commentList>
    <comment ref="F11" authorId="0" shapeId="0" xr:uid="{00B760C7-D8EF-4D52-9EE4-88DA9789054F}">
      <text>
        <r>
          <rPr>
            <sz val="9"/>
            <color indexed="81"/>
            <rFont val="Tahoma"/>
            <family val="2"/>
          </rPr>
          <t>https://rbi.org.in/Scripts/BS_NSDPDisplay.aspx?param=4</t>
        </r>
      </text>
    </comment>
    <comment ref="G11" authorId="0" shapeId="0" xr:uid="{1D9D107D-E4A6-48D4-9DA8-2466108FD937}">
      <text>
        <r>
          <rPr>
            <sz val="9"/>
            <color indexed="81"/>
            <rFont val="Tahoma"/>
            <family val="2"/>
          </rPr>
          <t>https://rbi.org.in/Scripts/BS_NSDPDisplay.aspx?param=4</t>
        </r>
      </text>
    </comment>
  </commentList>
</comments>
</file>

<file path=xl/sharedStrings.xml><?xml version="1.0" encoding="utf-8"?>
<sst xmlns="http://schemas.openxmlformats.org/spreadsheetml/2006/main" count="4052" uniqueCount="1052">
  <si>
    <t>MYT Petition Formats - Transmission</t>
  </si>
  <si>
    <t>Sr. No.</t>
  </si>
  <si>
    <t>Title</t>
  </si>
  <si>
    <t>Reference</t>
  </si>
  <si>
    <t>Aggregate Revenue Requirement - Summary Sheet</t>
  </si>
  <si>
    <t>Form 1</t>
  </si>
  <si>
    <t>Summary of Operations and Maintenance Expenses</t>
  </si>
  <si>
    <t>Form 2</t>
  </si>
  <si>
    <t>Operation and Maintenance Expenses -Normative</t>
  </si>
  <si>
    <t>Form 2.1</t>
  </si>
  <si>
    <t>Transmission Network Details</t>
  </si>
  <si>
    <t>Form 2.2</t>
  </si>
  <si>
    <t>Employee Expenses</t>
  </si>
  <si>
    <t>Form 2.3</t>
  </si>
  <si>
    <t>Administration &amp; General Expenses</t>
  </si>
  <si>
    <t>Form 2.4</t>
  </si>
  <si>
    <t>Repair &amp; Maintenance Expenses</t>
  </si>
  <si>
    <t>Form 2.5</t>
  </si>
  <si>
    <t>Summary of Capital Expenditure and Capitalisation</t>
  </si>
  <si>
    <t>Form 3</t>
  </si>
  <si>
    <t xml:space="preserve">Capital Expenditure Plan </t>
  </si>
  <si>
    <t>Form 3.1</t>
  </si>
  <si>
    <t>Capitalisation Plan</t>
  </si>
  <si>
    <t>Form 3.2</t>
  </si>
  <si>
    <t>Capital Work-in-Progress</t>
  </si>
  <si>
    <t>Form 3.3</t>
  </si>
  <si>
    <t>Assets &amp; Depreciation -Summary</t>
  </si>
  <si>
    <t>Form 4</t>
  </si>
  <si>
    <t>Assets &amp; Depreciation  - Existing Schemes (CoD on or before the March 31, 2025 or Assets in-principally approved  before the notification of MERC MYT Regulations 2024)</t>
  </si>
  <si>
    <t>Form 4.1 (E)</t>
  </si>
  <si>
    <t>Assets &amp; Depreciation - New Schemes  (not covered under Existing Assets)</t>
  </si>
  <si>
    <t>Form 4.1 (N)</t>
  </si>
  <si>
    <t>Interest on Loan Capital</t>
  </si>
  <si>
    <t>Form 5</t>
  </si>
  <si>
    <t>Interest on Working Capital and Security Deposits</t>
  </si>
  <si>
    <t>Form 6</t>
  </si>
  <si>
    <t>Return on Regulatory Equity</t>
  </si>
  <si>
    <t>Form 7</t>
  </si>
  <si>
    <t>Non-tariff Income</t>
  </si>
  <si>
    <t>Form 8</t>
  </si>
  <si>
    <t>Income Tax</t>
  </si>
  <si>
    <t>Form 9</t>
  </si>
  <si>
    <t>Contribution to Contingency Reserves</t>
  </si>
  <si>
    <t>Form 10</t>
  </si>
  <si>
    <t>Income from Transmission Charges</t>
  </si>
  <si>
    <t>Form 11</t>
  </si>
  <si>
    <t>Payment Efficiency</t>
  </si>
  <si>
    <t>Form 12</t>
  </si>
  <si>
    <t xml:space="preserve">Truing Up Summary </t>
  </si>
  <si>
    <t>Form 13</t>
  </si>
  <si>
    <t>Capital Cost Approval for Transmission System *</t>
  </si>
  <si>
    <t>Project Schedule</t>
  </si>
  <si>
    <t>Form 14.1</t>
  </si>
  <si>
    <t>Abstract of Capital Cost</t>
  </si>
  <si>
    <t>Form 14.2</t>
  </si>
  <si>
    <t>Breakup of Capital Cost</t>
  </si>
  <si>
    <t>Form 14.3</t>
  </si>
  <si>
    <t>Breakup of Construction/Supply/Services</t>
  </si>
  <si>
    <t>Form 14.4</t>
  </si>
  <si>
    <t>Financial Package</t>
  </si>
  <si>
    <t>Form 14.5</t>
  </si>
  <si>
    <t>Details of Loans</t>
  </si>
  <si>
    <t>Form 14.6</t>
  </si>
  <si>
    <t>Details of Additional Capitalisation after COD</t>
  </si>
  <si>
    <t>Form 14.7</t>
  </si>
  <si>
    <t>Financing of Additional Capitalisation</t>
  </si>
  <si>
    <t>Form 14.8</t>
  </si>
  <si>
    <t>Drawdown Schedule and Computation of IDC and Financing Charges</t>
  </si>
  <si>
    <t>Form 14.9</t>
  </si>
  <si>
    <t>Depreciation Schedule of Assets</t>
  </si>
  <si>
    <t>Form 15</t>
  </si>
  <si>
    <r>
      <rPr>
        <b/>
        <sz val="10"/>
        <rFont val="Times New Roman"/>
        <family val="1"/>
      </rPr>
      <t>Note</t>
    </r>
    <r>
      <rPr>
        <sz val="10"/>
        <rFont val="Times New Roman"/>
        <family val="1"/>
      </rPr>
      <t>: * Applicable only for new Transmission Project for which Provisional/Final tariff approval is being sought</t>
    </r>
  </si>
  <si>
    <t>Form 1:  Aggregate Revenue Requirement - Summary Sheet</t>
  </si>
  <si>
    <t>(Rs. Crore)</t>
  </si>
  <si>
    <t>Particulars</t>
  </si>
  <si>
    <t>FY 2022-23</t>
  </si>
  <si>
    <t>FY 2023-24</t>
  </si>
  <si>
    <t>FY 2024-25</t>
  </si>
  <si>
    <t>Ensuing Years</t>
  </si>
  <si>
    <t>Remarks</t>
  </si>
  <si>
    <t>MTR Order*</t>
  </si>
  <si>
    <t>April-March      (Audited )</t>
  </si>
  <si>
    <t>True-Up requirement</t>
  </si>
  <si>
    <t>Apr-Sep    (Actual)</t>
  </si>
  <si>
    <t>Oct-Mar          (Estimated)</t>
  </si>
  <si>
    <t>April - March (Estimated)</t>
  </si>
  <si>
    <t>Provisional True-Up requirement</t>
  </si>
  <si>
    <t>FY 2025-26</t>
  </si>
  <si>
    <t>FY 2026-27</t>
  </si>
  <si>
    <t>FY 2027-28</t>
  </si>
  <si>
    <t>FY 2028-29</t>
  </si>
  <si>
    <t>FY 2029-30</t>
  </si>
  <si>
    <t>(a)</t>
  </si>
  <si>
    <t>(b)</t>
  </si>
  <si>
    <t>(c ) = (b) - (a)</t>
  </si>
  <si>
    <t>(d)</t>
  </si>
  <si>
    <t>(e)</t>
  </si>
  <si>
    <t>(f ) = (e) - (d)</t>
  </si>
  <si>
    <t>(g)</t>
  </si>
  <si>
    <t>(h)</t>
  </si>
  <si>
    <t xml:space="preserve">(i) </t>
  </si>
  <si>
    <t>(j) = (h) + (i)</t>
  </si>
  <si>
    <t>(k) = (j) - (g)</t>
  </si>
  <si>
    <t>Projected</t>
  </si>
  <si>
    <t>Operation &amp; Maintenance Expenses</t>
  </si>
  <si>
    <t>Depreciation Expenses</t>
  </si>
  <si>
    <t>Interest on Working Capital and on Consumer Security Deposits</t>
  </si>
  <si>
    <t>Contribution to contingency reserves</t>
  </si>
  <si>
    <t>Total Revenue Expenditure</t>
  </si>
  <si>
    <t>Add: Return on Equity Capital</t>
  </si>
  <si>
    <t>Aggregate Revenue Requirement</t>
  </si>
  <si>
    <t>Less: Non Tariff Income</t>
  </si>
  <si>
    <t>Less: Income from Other Business</t>
  </si>
  <si>
    <t>Less: Income from Open Access charges</t>
  </si>
  <si>
    <t>Aggregate Revenue Requirement fromTransmission Business</t>
  </si>
  <si>
    <t xml:space="preserve">Note </t>
  </si>
  <si>
    <t>* - In case MTR Order is yet to be issued, then MYT Order values to be captured under this column</t>
  </si>
  <si>
    <t>MYT Petition  Formats - Transmission</t>
  </si>
  <si>
    <t>Form 2 :  Summary of Operations and Maintenance Expenses</t>
  </si>
  <si>
    <t>O &amp; M Expenses</t>
  </si>
  <si>
    <t xml:space="preserve">Employee Expenses </t>
  </si>
  <si>
    <t xml:space="preserve">A&amp;G Expenses </t>
  </si>
  <si>
    <t>R&amp;M Expenses</t>
  </si>
  <si>
    <t>Total Operation &amp; Maintenance Expenses (Net of capitalisation)</t>
  </si>
  <si>
    <r>
      <rPr>
        <b/>
        <sz val="11"/>
        <rFont val="Times New Roman"/>
        <family val="1"/>
      </rPr>
      <t>Note</t>
    </r>
    <r>
      <rPr>
        <sz val="11"/>
        <rFont val="Times New Roman"/>
        <family val="1"/>
      </rPr>
      <t>: * - In case MTR Order is yet to be issued, then MYT Order values to be captured under this column</t>
    </r>
  </si>
  <si>
    <t>Opex Schemes</t>
  </si>
  <si>
    <t xml:space="preserve">Projected </t>
  </si>
  <si>
    <t>System Automation</t>
  </si>
  <si>
    <t>New Technology</t>
  </si>
  <si>
    <t>I.T. Implementation</t>
  </si>
  <si>
    <t>….</t>
  </si>
  <si>
    <r>
      <rPr>
        <b/>
        <sz val="11"/>
        <rFont val="Times New Roman"/>
        <family val="1"/>
      </rPr>
      <t>Note</t>
    </r>
    <r>
      <rPr>
        <sz val="11"/>
        <rFont val="Times New Roman"/>
        <family val="1"/>
      </rPr>
      <t>: Transmission Licensee shall submit detailed justification, cost benefit analysis of opex schemes and savings in O&amp;M expenses, if any</t>
    </r>
  </si>
  <si>
    <t>&lt;Name of the Transmission Licensee&gt;</t>
  </si>
  <si>
    <t>Form 2.1 :  Operation and Maintenance Expenses - Normative</t>
  </si>
  <si>
    <t>Actual</t>
  </si>
  <si>
    <t>Estimated</t>
  </si>
  <si>
    <t>Average</t>
  </si>
  <si>
    <t>Opening</t>
  </si>
  <si>
    <t>Addition</t>
  </si>
  <si>
    <t>Closing</t>
  </si>
  <si>
    <t>Transmission Line - Ckt-km Basis</t>
  </si>
  <si>
    <t>a</t>
  </si>
  <si>
    <t>Ckt km length</t>
  </si>
  <si>
    <t>HVDC</t>
  </si>
  <si>
    <t>765 kV</t>
  </si>
  <si>
    <t>400 kV</t>
  </si>
  <si>
    <t>above 66 kV and less than 400 kV</t>
  </si>
  <si>
    <t>66 kV and below</t>
  </si>
  <si>
    <t>b</t>
  </si>
  <si>
    <t>Applicable O&amp;M cost Norm for Transmission Lines (Rs Lakh / ckt-km)$</t>
  </si>
  <si>
    <t>HVDC (in Rs. Lakh)</t>
  </si>
  <si>
    <t>c</t>
  </si>
  <si>
    <t>O&amp;M Expenses for Transmission Lines (Rs Crore)</t>
  </si>
  <si>
    <t>A</t>
  </si>
  <si>
    <t>Sub-total</t>
  </si>
  <si>
    <t>Transmission Bays - 'Number of bays' basis</t>
  </si>
  <si>
    <t>d</t>
  </si>
  <si>
    <t>Number of Bays</t>
  </si>
  <si>
    <t>e</t>
  </si>
  <si>
    <t>Applicable O&amp;M Cost Norm for Bays (Rs. Lakh / Bay) $</t>
  </si>
  <si>
    <t>f</t>
  </si>
  <si>
    <t>O&amp;M Expense (Bays), Rs Crore</t>
  </si>
  <si>
    <t>B</t>
  </si>
  <si>
    <t>Not Applicable</t>
  </si>
  <si>
    <t>Transformational Capacity - 'MVA Capacity' basis</t>
  </si>
  <si>
    <t>g</t>
  </si>
  <si>
    <t>Transformational Capacity</t>
  </si>
  <si>
    <t>MVA Capacity</t>
  </si>
  <si>
    <t>h</t>
  </si>
  <si>
    <t>Applicable O&amp;M Cost Norm for MVA Capacity (Rs. Lakh /MVA Capacity ) $</t>
  </si>
  <si>
    <t>i</t>
  </si>
  <si>
    <t>O&amp;M Expense (MVA Capacity), Rs Crore</t>
  </si>
  <si>
    <t>C</t>
  </si>
  <si>
    <t>D</t>
  </si>
  <si>
    <t>Total O&amp;M Expenses (A+B+C)</t>
  </si>
  <si>
    <t xml:space="preserve">$- Applicable O&amp;M Cost norms for Transmission Lines and bays,  shall be considered as specified in MERC MYT Regulations, 2019 for FY 2022-23, FY 2023-24 &amp; FY 2024-25, and norms for Transmission Lines , Bays and MVA capacity shall be as specified in MERC MYT Regulations, 2024 for the fifth Control Period </t>
  </si>
  <si>
    <t>Form 2.2:  Transmission Network Details</t>
  </si>
  <si>
    <t>FY 2024-25 Estimated</t>
  </si>
  <si>
    <t>H1</t>
  </si>
  <si>
    <t>H2</t>
  </si>
  <si>
    <t>Total</t>
  </si>
  <si>
    <t>Transmission Line Length (Ckt-Km.)</t>
  </si>
  <si>
    <t>&gt;66 kV and &lt;400 kV</t>
  </si>
  <si>
    <t>66 kV and less</t>
  </si>
  <si>
    <t>No. of Substations (Nos.)</t>
  </si>
  <si>
    <t>220 kV</t>
  </si>
  <si>
    <t>132 kV</t>
  </si>
  <si>
    <t>Total No. of Bays (Nos.)</t>
  </si>
  <si>
    <t>Transformation Capacity (MVA)</t>
  </si>
  <si>
    <r>
      <rPr>
        <b/>
        <sz val="11"/>
        <rFont val="Times New Roman"/>
        <family val="1"/>
      </rPr>
      <t>Note</t>
    </r>
    <r>
      <rPr>
        <sz val="11"/>
        <rFont val="Times New Roman"/>
        <family val="1"/>
      </rPr>
      <t>- Network details as on 31 March of respective year shall be considered</t>
    </r>
  </si>
  <si>
    <t>Form 2.3 :  Employee Expenses</t>
  </si>
  <si>
    <t>(c)</t>
  </si>
  <si>
    <t xml:space="preserve">(d) </t>
  </si>
  <si>
    <t>(e) = (c) + (d)</t>
  </si>
  <si>
    <t>Basic Salary</t>
  </si>
  <si>
    <t>Dearness Allowance (DA)</t>
  </si>
  <si>
    <t>House Rent Allowance</t>
  </si>
  <si>
    <t>Conveyance Allowance</t>
  </si>
  <si>
    <t>Leave Travel Allowance</t>
  </si>
  <si>
    <t>Earned Leave Encashment</t>
  </si>
  <si>
    <t>Other Allowances</t>
  </si>
  <si>
    <t>Medical Reimbursement</t>
  </si>
  <si>
    <t>Overtime Payment</t>
  </si>
  <si>
    <t>Bonus/Ex-Gratia Payments</t>
  </si>
  <si>
    <t xml:space="preserve">Interim Relief / Wage Revision </t>
  </si>
  <si>
    <t>Staff welfare expenses</t>
  </si>
  <si>
    <t>VRS Expenses/Retrenchment Compensation</t>
  </si>
  <si>
    <t>Commission to Directors</t>
  </si>
  <si>
    <t>Training Expenses</t>
  </si>
  <si>
    <t>Payment under Workmen's Compensation Act</t>
  </si>
  <si>
    <t>Net Employee Costs</t>
  </si>
  <si>
    <t>Terminal Benefits</t>
  </si>
  <si>
    <t>Provident Fund Contribution</t>
  </si>
  <si>
    <t>Provision for PF Fund</t>
  </si>
  <si>
    <t>Pension Payments</t>
  </si>
  <si>
    <t>Gratuity Payment</t>
  </si>
  <si>
    <t>… … …</t>
  </si>
  <si>
    <t xml:space="preserve">Gross Employee Expenses </t>
  </si>
  <si>
    <t>Less: Expenses Capitalised</t>
  </si>
  <si>
    <t xml:space="preserve">Net Employee Expenses </t>
  </si>
  <si>
    <t>B. Details of number of employees</t>
  </si>
  <si>
    <t>(Numbers)</t>
  </si>
  <si>
    <t>Officer/Managerial Cadre</t>
  </si>
  <si>
    <t>Technical</t>
  </si>
  <si>
    <t>Administrative</t>
  </si>
  <si>
    <t>Accounts and finance</t>
  </si>
  <si>
    <t>Other (Please specify)</t>
  </si>
  <si>
    <t>Staff Cadre</t>
  </si>
  <si>
    <t>Grade I</t>
  </si>
  <si>
    <t>Grade II</t>
  </si>
  <si>
    <t>Grade III</t>
  </si>
  <si>
    <t>Grade IV</t>
  </si>
  <si>
    <t>Others (please specify)</t>
  </si>
  <si>
    <t>Total Employees</t>
  </si>
  <si>
    <t>Form 2.4 :  Administration &amp; General Expenses</t>
  </si>
  <si>
    <t>Rent Rates &amp; Taxes</t>
  </si>
  <si>
    <t>Insurance</t>
  </si>
  <si>
    <t>Telephone &amp; Postage, etc.</t>
  </si>
  <si>
    <t>Legal charges &amp; Audit fee</t>
  </si>
  <si>
    <t>Professional, Consultancy, Technical fee</t>
  </si>
  <si>
    <t>Conveyance &amp; Travel</t>
  </si>
  <si>
    <t>Electricity charges</t>
  </si>
  <si>
    <t>Water charges</t>
  </si>
  <si>
    <t>Security arrangements</t>
  </si>
  <si>
    <t>Fees &amp; subscription</t>
  </si>
  <si>
    <t>Books &amp; periodicals</t>
  </si>
  <si>
    <t>Computer Stationery</t>
  </si>
  <si>
    <t>Printing &amp; Stationery</t>
  </si>
  <si>
    <t xml:space="preserve">Advertisements </t>
  </si>
  <si>
    <t>Purchase Related Advertisement Expenses</t>
  </si>
  <si>
    <t>Contribution/Donations</t>
  </si>
  <si>
    <t>License Fee  and other related fee</t>
  </si>
  <si>
    <t>Vehicle Running Expenses Truck / Delivery Van</t>
  </si>
  <si>
    <t>Vehicle Hiring Expenses Truck / Delivery Van</t>
  </si>
  <si>
    <t>Cost of services procured</t>
  </si>
  <si>
    <t>Outsourcing of metering and billing system</t>
  </si>
  <si>
    <t>Freight On Capital Equipments</t>
  </si>
  <si>
    <t>V-sat, Internet and related charges</t>
  </si>
  <si>
    <t>Training</t>
  </si>
  <si>
    <t>Bank Charges</t>
  </si>
  <si>
    <t>Miscellaneous Expenses</t>
  </si>
  <si>
    <t>Office Expenses</t>
  </si>
  <si>
    <t>Gross A&amp;G Expenses</t>
  </si>
  <si>
    <t xml:space="preserve">Net A&amp;G Expenses </t>
  </si>
  <si>
    <t>Form 2.5 :  Repair &amp; Maintenance Expenses</t>
  </si>
  <si>
    <t>Plant &amp; Machinery</t>
  </si>
  <si>
    <t>Buildings</t>
  </si>
  <si>
    <t>Civil Works</t>
  </si>
  <si>
    <t>Hydraulic Works</t>
  </si>
  <si>
    <t>Lines &amp; Cable Networks</t>
  </si>
  <si>
    <t>Vehicles</t>
  </si>
  <si>
    <t>Furniture &amp; Fixtures</t>
  </si>
  <si>
    <t>Office Equipment</t>
  </si>
  <si>
    <t>Gross R&amp;M Expenses</t>
  </si>
  <si>
    <t xml:space="preserve">Net R&amp;M Expenses </t>
  </si>
  <si>
    <t>Form 3:  Summary of Capital Expenditure and Capitalisation</t>
  </si>
  <si>
    <t>Capital Expenditure</t>
  </si>
  <si>
    <t>Capitalisation</t>
  </si>
  <si>
    <t>IDC</t>
  </si>
  <si>
    <t>Capitalisation + IDC</t>
  </si>
  <si>
    <t>Detailed Justification shall be provided for variation in approved capital expenditure and capitalisation vis-a-vis actual capital expenditure and capitalisation</t>
  </si>
  <si>
    <t xml:space="preserve">Form 3.1: Capital Expenditure Plan </t>
  </si>
  <si>
    <t>Project Details</t>
  </si>
  <si>
    <t>Project Code</t>
  </si>
  <si>
    <t>Project Title</t>
  </si>
  <si>
    <t>MERC Approval No.</t>
  </si>
  <si>
    <t>MERC Approval Date</t>
  </si>
  <si>
    <t>Project Purpose</t>
  </si>
  <si>
    <t>Project Start Date</t>
  </si>
  <si>
    <t>Project Completion date 
(Scheduled)</t>
  </si>
  <si>
    <t>Capital Cost</t>
  </si>
  <si>
    <t>Original</t>
  </si>
  <si>
    <t>Revised</t>
  </si>
  <si>
    <t xml:space="preserve">Actual </t>
  </si>
  <si>
    <t>Approved</t>
  </si>
  <si>
    <t>Actual Capital Cost Incurred</t>
  </si>
  <si>
    <t xml:space="preserve">Deviation = Approved - Actual on account of </t>
  </si>
  <si>
    <t>Change in Scope of Work (a)</t>
  </si>
  <si>
    <t>Material Cost (b)</t>
  </si>
  <si>
    <t>IDC (c)</t>
  </si>
  <si>
    <t>Others (d)</t>
  </si>
  <si>
    <t>Total Deviation (a+b+c+d)</t>
  </si>
  <si>
    <t>a) DPR Schemes</t>
  </si>
  <si>
    <t>(i) In-principle approved by MERC</t>
  </si>
  <si>
    <t>…</t>
  </si>
  <si>
    <t>(ii) Yet to receive in-principle MERC approval</t>
  </si>
  <si>
    <t>b) Non-DPR Schemes</t>
  </si>
  <si>
    <t>TOTAL</t>
  </si>
  <si>
    <t>Financing Plan</t>
  </si>
  <si>
    <t>Project Number</t>
  </si>
  <si>
    <t>Source of Financing for Capital Expenditure</t>
  </si>
  <si>
    <t>Internal Accruals</t>
  </si>
  <si>
    <t>Equity</t>
  </si>
  <si>
    <t>Debt</t>
  </si>
  <si>
    <t>Loan Amount</t>
  </si>
  <si>
    <t>Interest Rate (% p.a.)</t>
  </si>
  <si>
    <t>Tenure of Loan (years)</t>
  </si>
  <si>
    <t>Moratorium Period (years)</t>
  </si>
  <si>
    <t>Loan Source</t>
  </si>
  <si>
    <r>
      <rPr>
        <b/>
        <sz val="11"/>
        <rFont val="Times New Roman"/>
        <family val="1"/>
      </rPr>
      <t>Note</t>
    </r>
    <r>
      <rPr>
        <sz val="11"/>
        <rFont val="Times New Roman"/>
        <family val="1"/>
      </rPr>
      <t xml:space="preserve">: 1. Capital expenditure incurred based on the specific requirement of Generating Company or Distribution Licensee shall be substantiated with necessary documentary evidence  </t>
    </r>
  </si>
  <si>
    <t xml:space="preserve">          2. Expenses that would be classified as O&amp;M expenses shall not be categorised under non-DPR schemes</t>
  </si>
  <si>
    <t>MYT Petition  Formats  - Transmission</t>
  </si>
  <si>
    <t xml:space="preserve">Form 3.2: Capitalisation Plan </t>
  </si>
  <si>
    <t>MERC Approved Cost</t>
  </si>
  <si>
    <t>Debt Equity Ratio</t>
  </si>
  <si>
    <t>Grants/ Consumer Contribution</t>
  </si>
  <si>
    <t>Approved Start Date</t>
  </si>
  <si>
    <t>Actual Start Date</t>
  </si>
  <si>
    <t>Approved Date of Completion</t>
  </si>
  <si>
    <t>Actual Date of Completion</t>
  </si>
  <si>
    <t>Benefits in Quantified Terms</t>
  </si>
  <si>
    <t>Physical Progress (%)</t>
  </si>
  <si>
    <t>Reasons for Delay, if any</t>
  </si>
  <si>
    <t>Actual Capex till FY 2016-17</t>
  </si>
  <si>
    <t>Actual Progress till FY 2016-17</t>
  </si>
  <si>
    <t>Actual Capitalisation till FY 2016-17</t>
  </si>
  <si>
    <t>Change in Scope of Work</t>
  </si>
  <si>
    <t>Any other reason</t>
  </si>
  <si>
    <t>FY 2014-25</t>
  </si>
  <si>
    <t>FY 20123-24</t>
  </si>
  <si>
    <r>
      <rPr>
        <b/>
        <sz val="11"/>
        <rFont val="Times New Roman"/>
        <family val="1"/>
      </rPr>
      <t>Note</t>
    </r>
    <r>
      <rPr>
        <sz val="11"/>
        <rFont val="Times New Roman"/>
        <family val="1"/>
      </rPr>
      <t>: 1. Capital expenditure incurred based on the specific requirement of Generating</t>
    </r>
    <r>
      <rPr>
        <sz val="11"/>
        <color rgb="FFFF0000"/>
        <rFont val="Times New Roman"/>
        <family val="1"/>
      </rPr>
      <t xml:space="preserve"> </t>
    </r>
    <r>
      <rPr>
        <sz val="11"/>
        <rFont val="Times New Roman"/>
        <family val="1"/>
      </rPr>
      <t xml:space="preserve">Company or Distribution Licensee shall be substantiated with necessary documentary evidence  </t>
    </r>
  </si>
  <si>
    <t xml:space="preserve">               2. Expenses that would be classified as O&amp;M expenses shall not be categorised under non-DPR schemes</t>
  </si>
  <si>
    <t>MYT Petition Formats  - Transmission</t>
  </si>
  <si>
    <t>Form 3.3:  Capital Work-in-progress - Project-wise details</t>
  </si>
  <si>
    <t>Approved Project Cost</t>
  </si>
  <si>
    <t>Cumulative Expenditure Incurred till beginning of the Year</t>
  </si>
  <si>
    <t>Capital Expenditure Capitalised</t>
  </si>
  <si>
    <t>Opening CWIP</t>
  </si>
  <si>
    <t>Investment during the year</t>
  </si>
  <si>
    <t>Capital Work in Progress</t>
  </si>
  <si>
    <t>Closing CWIP</t>
  </si>
  <si>
    <t>Works Capitalised</t>
  </si>
  <si>
    <t>Interest Capitalised</t>
  </si>
  <si>
    <t>Expenses Capitalised</t>
  </si>
  <si>
    <t>Total Capitalisation</t>
  </si>
  <si>
    <t xml:space="preserve">              2. Expenses that would be classified as O&amp;M expenses shall not be categorised under non-DPR schemes</t>
  </si>
  <si>
    <t xml:space="preserve">MYT Petition Formats- Transmission- Summary </t>
  </si>
  <si>
    <t>Form 4 (F 4.1 E +  F 4.1 N) : Assets &amp; Depreciation</t>
  </si>
  <si>
    <t xml:space="preserve">       </t>
  </si>
  <si>
    <t>(A) Gross Fixed Assets</t>
  </si>
  <si>
    <t>Balance at the beginning of the year</t>
  </si>
  <si>
    <t>Additions during the year</t>
  </si>
  <si>
    <t>Retirement of assets during the year</t>
  </si>
  <si>
    <t>Balance at the end of the year</t>
  </si>
  <si>
    <t>(d) = (a)+(b)-(c)</t>
  </si>
  <si>
    <t>(f)</t>
  </si>
  <si>
    <t>(g) = (d)+(e)-(f)</t>
  </si>
  <si>
    <t>(i)</t>
  </si>
  <si>
    <t>(j) = (g)+(h)-(i)</t>
  </si>
  <si>
    <t>(j)</t>
  </si>
  <si>
    <t>(k)</t>
  </si>
  <si>
    <t>(l)</t>
  </si>
  <si>
    <t>(m) = (j)+(k)-(l)</t>
  </si>
  <si>
    <r>
      <rPr>
        <b/>
        <sz val="11"/>
        <rFont val="Times New Roman"/>
        <family val="1"/>
      </rPr>
      <t>Note</t>
    </r>
    <r>
      <rPr>
        <sz val="11"/>
        <rFont val="Times New Roman"/>
        <family val="1"/>
      </rPr>
      <t>: Documentary evidence of all assets put to use during the completed Years shall be provided with this format</t>
    </r>
  </si>
  <si>
    <t>(m)</t>
  </si>
  <si>
    <t>(n)</t>
  </si>
  <si>
    <t>(o)</t>
  </si>
  <si>
    <t>(p) = (m)+(n)-(o)</t>
  </si>
  <si>
    <t>(p)</t>
  </si>
  <si>
    <t>(q)</t>
  </si>
  <si>
    <t>(r)</t>
  </si>
  <si>
    <t>(s) = (p)+(q)-(r)</t>
  </si>
  <si>
    <t>(s)</t>
  </si>
  <si>
    <t>(t)</t>
  </si>
  <si>
    <t>(u)</t>
  </si>
  <si>
    <t>(v) = (s)+(t)-(u)</t>
  </si>
  <si>
    <t>(v)</t>
  </si>
  <si>
    <t>(w)</t>
  </si>
  <si>
    <t>(x)</t>
  </si>
  <si>
    <t>(y) = (v)+(w)-(x)</t>
  </si>
  <si>
    <t>(B) Depreciation</t>
  </si>
  <si>
    <t>Audited</t>
  </si>
  <si>
    <t>Accumulated depreciation at the beginning of the year</t>
  </si>
  <si>
    <t>Withdrawals during the year</t>
  </si>
  <si>
    <t>Accumulated depreciation at the end of the year</t>
  </si>
  <si>
    <r>
      <rPr>
        <b/>
        <sz val="11"/>
        <rFont val="Times New Roman"/>
        <family val="1"/>
      </rPr>
      <t>Note</t>
    </r>
    <r>
      <rPr>
        <sz val="11"/>
        <rFont val="Times New Roman"/>
        <family val="1"/>
      </rPr>
      <t>: 1. Documentary evidence of all assets put to use during the Year shall be provided with this format</t>
    </r>
  </si>
  <si>
    <t>2. Transmission Licensee shall submit certification from the Statutory Auditor for the capping of depreciation at ninety per cent of the allowable capital cost of the asset</t>
  </si>
  <si>
    <t>(C ) Net Fixed Assets</t>
  </si>
  <si>
    <r>
      <rPr>
        <b/>
        <sz val="11"/>
        <rFont val="Times New Roman"/>
        <family val="1"/>
      </rPr>
      <t>Note</t>
    </r>
    <r>
      <rPr>
        <sz val="11"/>
        <rFont val="Times New Roman"/>
        <family val="1"/>
      </rPr>
      <t>: Documentary evidence of all assets put to use shall be provided with this format</t>
    </r>
  </si>
  <si>
    <t>MYT Petition Formats- Transmission</t>
  </si>
  <si>
    <t>Form 4.1 (E): Assets &amp; Depreciation - Existing Schemes (CoD on or before the March 31, 2025 or Assets in-principally approved  before the notification of MERC MYT Regulations 2024)</t>
  </si>
  <si>
    <t>Asset not in use</t>
  </si>
  <si>
    <t>(e) = (a)+(b)-(c)-(d)</t>
  </si>
  <si>
    <t>(i) = (e)+(f)-(g)-(h)</t>
  </si>
  <si>
    <t>(m) = (i)+(j)-(k)-(l)</t>
  </si>
  <si>
    <t>(q) = (m)+(n)-(o)-(p)</t>
  </si>
  <si>
    <t>(u) = (q)+(r)-(s)-(t)</t>
  </si>
  <si>
    <t>(y) = (u)+(v)-(w)-(x)</t>
  </si>
  <si>
    <t>(y)</t>
  </si>
  <si>
    <t>(z)</t>
  </si>
  <si>
    <t>(aa)</t>
  </si>
  <si>
    <t>(ab)</t>
  </si>
  <si>
    <t>(ac) = (y)+(z)-(aa)-(ab)</t>
  </si>
  <si>
    <t>(ac)</t>
  </si>
  <si>
    <t>(ad)</t>
  </si>
  <si>
    <t>(ae)</t>
  </si>
  <si>
    <t>(af)</t>
  </si>
  <si>
    <t>(ag) = (ac)+(ad)-(ae)-(af)</t>
  </si>
  <si>
    <t>Form 4.1 (N): Assets &amp; Depreciation- New Schemes  (not covered under Existing Assets)</t>
  </si>
  <si>
    <r>
      <t>Note</t>
    </r>
    <r>
      <rPr>
        <sz val="11"/>
        <rFont val="Times New Roman"/>
        <family val="1"/>
      </rPr>
      <t>: Documentary evidence of all assets put to use during the completed Years shall be provided with this format</t>
    </r>
  </si>
  <si>
    <r>
      <t>Note</t>
    </r>
    <r>
      <rPr>
        <sz val="11"/>
        <rFont val="Times New Roman"/>
        <family val="1"/>
      </rPr>
      <t>: 1. Documentary evidence of all assets put to use during the Year shall be provided with this format</t>
    </r>
  </si>
  <si>
    <r>
      <t>Note</t>
    </r>
    <r>
      <rPr>
        <sz val="11"/>
        <rFont val="Times New Roman"/>
        <family val="1"/>
      </rPr>
      <t>: Documentary evidence of all assets put to use shall be provided with this format</t>
    </r>
  </si>
  <si>
    <t>Form 5: Interest on Loan Capital</t>
  </si>
  <si>
    <t>A) Normative Loan</t>
  </si>
  <si>
    <t xml:space="preserve">Sr. No. </t>
  </si>
  <si>
    <t>Source of Loan</t>
  </si>
  <si>
    <t>Ensuing Years (Projected)</t>
  </si>
  <si>
    <t>(i) = (h) - (g)</t>
  </si>
  <si>
    <t>Opening Balance of Gross Normative Loan</t>
  </si>
  <si>
    <t>Cumulative Repayment till the year</t>
  </si>
  <si>
    <t>Opening Balance of Net Normative Loan</t>
  </si>
  <si>
    <t>Less: Reduction of Normative Loan due to retirement or replacement of assets</t>
  </si>
  <si>
    <t>Addition of Normative Loan due to capitalisation during the year</t>
  </si>
  <si>
    <t>Repayment of Normative loan during the year</t>
  </si>
  <si>
    <t>Closing Balance of Net Normative Loan</t>
  </si>
  <si>
    <t>Closing Balance of Gross Normative Loan</t>
  </si>
  <si>
    <t>Average Balance of Net Normative Loan</t>
  </si>
  <si>
    <t>Weighted average Rate of Interest on actual Loans (%)</t>
  </si>
  <si>
    <t>Interest Expenses</t>
  </si>
  <si>
    <t>Financing Charges</t>
  </si>
  <si>
    <t>Total Interest &amp; Financing Charges</t>
  </si>
  <si>
    <t>B) Existing Actual Long-term Loans</t>
  </si>
  <si>
    <t>Loan 1</t>
  </si>
  <si>
    <t>Opening Balance of Loan</t>
  </si>
  <si>
    <t>Addition of Loan during the year</t>
  </si>
  <si>
    <t>Loan Repayment during the year</t>
  </si>
  <si>
    <t>Closing Balance of Loan</t>
  </si>
  <si>
    <t>Average Loan Balance</t>
  </si>
  <si>
    <t>Applicable Interest Rate (%)</t>
  </si>
  <si>
    <t>Loan 2</t>
  </si>
  <si>
    <t>Loan 3</t>
  </si>
  <si>
    <t>Gross Interest Expenses</t>
  </si>
  <si>
    <t xml:space="preserve">Net Interest Expenses </t>
  </si>
  <si>
    <r>
      <rPr>
        <b/>
        <sz val="11"/>
        <rFont val="Times New Roman"/>
        <family val="1"/>
      </rPr>
      <t>Note</t>
    </r>
    <r>
      <rPr>
        <sz val="11"/>
        <rFont val="Times New Roman"/>
        <family val="1"/>
      </rPr>
      <t>: * In case MTR Order is yet to be issued, MYT Order values are to be entered here</t>
    </r>
  </si>
  <si>
    <t>Separate detailed computations for FERV component to be submitted</t>
  </si>
  <si>
    <t>C ) Actual Loans drawn during the year</t>
  </si>
  <si>
    <t>Form 6: Interest on Working Capital</t>
  </si>
  <si>
    <t>A) FY 2022-23, FY 2023-24 and FY 2024-25</t>
  </si>
  <si>
    <t>Norm</t>
  </si>
  <si>
    <t>Revised Normative</t>
  </si>
  <si>
    <t>Operations and Maintenance Expenses for one month</t>
  </si>
  <si>
    <t>Maintenance Spares @1% of the Opening GFA</t>
  </si>
  <si>
    <t>One and a half months of the expected revenue from transmission charges at the prevailing tariffs</t>
  </si>
  <si>
    <t>Less: Amount of Security Deposit from Transmission System Users</t>
  </si>
  <si>
    <t>Total Working Capital Requirement</t>
  </si>
  <si>
    <t>Rate of Interest (% p.a.) - SBI Base Rate plus 150 basis points</t>
  </si>
  <si>
    <t>Interest on Working Capital</t>
  </si>
  <si>
    <t>Actual Working Capital Interest</t>
  </si>
  <si>
    <t>Interest on Security Deposit</t>
  </si>
  <si>
    <t xml:space="preserve">Note: </t>
  </si>
  <si>
    <t xml:space="preserve"> * - In case MTR Order is yet to be issued, then MYT Order values to be captured under this column</t>
  </si>
  <si>
    <t>Petitioner should submit documentary evidence for actual interest on working capital incurred</t>
  </si>
  <si>
    <t>One and a half month of the expected revenue from transmission charges at the prevailing tariffs</t>
  </si>
  <si>
    <t xml:space="preserve">Interest on Working Capital </t>
  </si>
  <si>
    <t>Rate of Interest (% p.a.) - Bank Rate</t>
  </si>
  <si>
    <t>Form 7: Return on Regulatory Equity</t>
  </si>
  <si>
    <t>Regulatory Equity at the beginning of the year</t>
  </si>
  <si>
    <t>Capitalisation during the year $</t>
  </si>
  <si>
    <t>Equity portion of capitalisation during the year #</t>
  </si>
  <si>
    <t>Reduction in Equity Capital on account of retirement / replacement of assets</t>
  </si>
  <si>
    <t>Regulatory Equity at the end of the year</t>
  </si>
  <si>
    <t>Return on Equity Computation</t>
  </si>
  <si>
    <t>Base Rate of Return on Equity</t>
  </si>
  <si>
    <t>Pretax Return on Equity after considering effective Tax rate$$</t>
  </si>
  <si>
    <t xml:space="preserve">Return on Regulatory Equity at the beginning of the year </t>
  </si>
  <si>
    <t xml:space="preserve">Return on Regulatory Equity addition during the year </t>
  </si>
  <si>
    <t>Total Return on Equity</t>
  </si>
  <si>
    <r>
      <rPr>
        <b/>
        <sz val="11"/>
        <rFont val="Times New Roman"/>
        <family val="1"/>
      </rPr>
      <t>Note</t>
    </r>
    <r>
      <rPr>
        <sz val="11"/>
        <rFont val="Times New Roman"/>
        <family val="1"/>
      </rPr>
      <t>: # Equity balance for the fourth Control Period exceeding the difference between the sum of cumulative ROE allowed, efficiency gains /losses, incentives and disincentives &amp; income earned from investment of return on equity, and the cumulative equity investment approved by the Commission in previous years, shall be supported by documentary evidence</t>
    </r>
  </si>
  <si>
    <t xml:space="preserve">$ Any additional capitalization after cut-off date excluding due to Change in Law shall be excluded for consideration on base rate of return on equity </t>
  </si>
  <si>
    <t>$$ Pre tax Retrun on Equity to be considered as computed in Form 9 based on effective tax rate</t>
  </si>
  <si>
    <t>Additional Return on Equity</t>
  </si>
  <si>
    <t>Unit</t>
  </si>
  <si>
    <t>Incremental Transmission Availability for AC system and HVDC system#</t>
  </si>
  <si>
    <t>%</t>
  </si>
  <si>
    <t>Additional Rate of Return on Equity for Availability (a)</t>
  </si>
  <si>
    <t>Additional Return on Equity Computation</t>
  </si>
  <si>
    <t>Return on Regulatory Equity at the beginning of the year</t>
  </si>
  <si>
    <t>Rs. Crore</t>
  </si>
  <si>
    <t>Return on Regulatory Equity addition during the year</t>
  </si>
  <si>
    <t>Total Additional Return on Equity</t>
  </si>
  <si>
    <r>
      <rPr>
        <b/>
        <sz val="11"/>
        <rFont val="Times New Roman"/>
        <family val="1"/>
      </rPr>
      <t>Note</t>
    </r>
    <r>
      <rPr>
        <sz val="11"/>
        <rFont val="Times New Roman"/>
        <family val="1"/>
      </rPr>
      <t>: # Transmission Licensee shall submit SLDC certificate to substantiate incremental availability as specified in the Regulations</t>
    </r>
  </si>
  <si>
    <t xml:space="preserve">Regulatory Equity at the beginning of the year </t>
  </si>
  <si>
    <t>Capitalisation during the year**</t>
  </si>
  <si>
    <t xml:space="preserve">Return on Equity </t>
  </si>
  <si>
    <t>Pretax Return on Equity after considering Income Tax rate approved $$</t>
  </si>
  <si>
    <r>
      <rPr>
        <b/>
        <sz val="11"/>
        <rFont val="Times New Roman"/>
        <family val="1"/>
      </rPr>
      <t>Note</t>
    </r>
    <r>
      <rPr>
        <sz val="11"/>
        <rFont val="Times New Roman"/>
        <family val="1"/>
      </rPr>
      <t>: # Equity balance for the fifth Control Period exceeding the difference between the sum of cumulative ROE allowed, efficiency gains /losses, incentives and disincentives &amp; income earned from investment of return on equity, and the cumulative equity investment approved by the Commission in previous years, shall be supported by documentary evidence</t>
    </r>
  </si>
  <si>
    <t>**Any additional capitalization after cut-off date excluding due to Change in Law shall be as per the second proviso of Regulation 29.1 of the MERC MYT Regulations, 2024</t>
  </si>
  <si>
    <t>$$ Pre tax Retrun on Equity to be considered as computed in Form 12 based on Income tax rate approved</t>
  </si>
  <si>
    <t>Form 8: Non-Tariff Income</t>
  </si>
  <si>
    <t>Income from rent of land or buildings</t>
  </si>
  <si>
    <t>Income from sale of scrap</t>
  </si>
  <si>
    <t>Income from investments</t>
  </si>
  <si>
    <t>Interest income on advances to suppliers/contractors</t>
  </si>
  <si>
    <t>Income from rental from staff quarters</t>
  </si>
  <si>
    <t>Income from rental from contractors</t>
  </si>
  <si>
    <t>Income from hire charges from contractors and others</t>
  </si>
  <si>
    <t>Supervision charges for capital works</t>
  </si>
  <si>
    <t>Income from advertisement</t>
  </si>
  <si>
    <t>Income from sale of tender documents</t>
  </si>
  <si>
    <t>Form 12 A: Income Tax Rate for Truing-up Years for Fifth Control Period</t>
  </si>
  <si>
    <t>Formula</t>
  </si>
  <si>
    <t>FY 2024-25*</t>
  </si>
  <si>
    <t>Total Gross Income of Regulated Entity (Rs. Crore)</t>
  </si>
  <si>
    <t>Actual Income Tax paid by the Entity #</t>
  </si>
  <si>
    <t>Income Tax Rate of the Company (%) $</t>
  </si>
  <si>
    <t>c = (b/a)</t>
  </si>
  <si>
    <t>Base Rate of Return on Equity (%)</t>
  </si>
  <si>
    <t>Additional Rate of Return on Equity (%)</t>
  </si>
  <si>
    <t>(e )</t>
  </si>
  <si>
    <t>Total Rate of Return on Equity (%)</t>
  </si>
  <si>
    <t>(f)= (d)+(e)</t>
  </si>
  <si>
    <t>Rate of Pre Tax Return on Equity (%)</t>
  </si>
  <si>
    <t>g = f /(1-c)</t>
  </si>
  <si>
    <r>
      <rPr>
        <b/>
        <sz val="11"/>
        <rFont val="Times New Roman"/>
        <family val="1"/>
      </rPr>
      <t>Note</t>
    </r>
    <r>
      <rPr>
        <sz val="11"/>
        <rFont val="Times New Roman"/>
        <family val="1"/>
      </rPr>
      <t xml:space="preserve">: # Actual tax paid on income from any other regulated or unregulated Business or Other Business shall be excluded for the calculation of effective tax rate </t>
    </r>
  </si>
  <si>
    <t># Income tax paid on incentive, efficiency gains, Delayed Payment Charges, Interest on Delayed Payment, Income from Other Business, Income from any other source not considered in ARR is to be excluded from actual Income Tax paid, and shown separately</t>
  </si>
  <si>
    <t xml:space="preserve">$ In case Entity is paying Minimum Alternate Tax (MAT), the Income Tax rate shall be considered as MAT rate including surcharge and cess </t>
  </si>
  <si>
    <t xml:space="preserve">* The lastest available approved income tax rate shall be considered. </t>
  </si>
  <si>
    <t>Form 12 (B):  Computation of Income Tax Rate for Fifth Control Period</t>
  </si>
  <si>
    <t>Income Tax Rate of the Company (%) *</t>
  </si>
  <si>
    <t>Rate of Return on Equity (%)</t>
  </si>
  <si>
    <t>c = b /(1-a)</t>
  </si>
  <si>
    <r>
      <rPr>
        <b/>
        <sz val="11"/>
        <color rgb="FF000000"/>
        <rFont val="Times New Roman"/>
        <family val="1"/>
      </rPr>
      <t>Note</t>
    </r>
    <r>
      <rPr>
        <sz val="11"/>
        <color rgb="FF000000"/>
        <rFont val="Times New Roman"/>
        <family val="1"/>
      </rPr>
      <t xml:space="preserve">: </t>
    </r>
  </si>
  <si>
    <t xml:space="preserve">*The lastest available approved income tax rate shall be considered. </t>
  </si>
  <si>
    <t>Form 10:  Contribution to Contingency Reserves</t>
  </si>
  <si>
    <t>Opening Balance of Contingency Reserves</t>
  </si>
  <si>
    <t>Opening Gross Fixed Assets</t>
  </si>
  <si>
    <t>Opening Balance of Contingency Reserves as % of Opening GFA</t>
  </si>
  <si>
    <t>Contribution to Contingency Reserves during the year</t>
  </si>
  <si>
    <t>Utilisation of Contingency Reserves during the year</t>
  </si>
  <si>
    <t>Closing Balance of Contingency Reserves</t>
  </si>
  <si>
    <t>Closing Balance of Contingency Reserves as % of Opening GFA</t>
  </si>
  <si>
    <t>Documentary evidence towards investment of amounts under Contingency Reserve should be submitted</t>
  </si>
  <si>
    <t>Form 11: Income from Transmission Charges</t>
  </si>
  <si>
    <t>Income from Transmission Charges$</t>
  </si>
  <si>
    <t>Income from Open Access Charges</t>
  </si>
  <si>
    <t>$ Approved figure for Income from Transmission Charges shall be considered from InSTS Order for respective year</t>
  </si>
  <si>
    <t>Form 12: Payment Efficiency</t>
  </si>
  <si>
    <t>Year : FY 2022-23</t>
  </si>
  <si>
    <t>A) Scheduled and Actual Payment against Loans</t>
  </si>
  <si>
    <t>Schedule Payment</t>
  </si>
  <si>
    <t>Payment made</t>
  </si>
  <si>
    <t>Delay in payment (days)</t>
  </si>
  <si>
    <t>Amount Pending (Rs. Crore)</t>
  </si>
  <si>
    <t>Month/Date</t>
  </si>
  <si>
    <t>Amount (Rs. Crore)</t>
  </si>
  <si>
    <t>Due date</t>
  </si>
  <si>
    <t>Month/ Date</t>
  </si>
  <si>
    <t>% of Amount paid</t>
  </si>
  <si>
    <t>Scheduled Payment against Long Term Loans</t>
  </si>
  <si>
    <t>Long Term Loan 1</t>
  </si>
  <si>
    <t>Long Term Loan 2</t>
  </si>
  <si>
    <t>Long Term Loan 3</t>
  </si>
  <si>
    <t>... ... ...</t>
  </si>
  <si>
    <t>Year : FY 2023-24</t>
  </si>
  <si>
    <t>Form 13:  Truing-up Summary</t>
  </si>
  <si>
    <t>Deviation</t>
  </si>
  <si>
    <t>Reason for Deviation</t>
  </si>
  <si>
    <t>Controllable</t>
  </si>
  <si>
    <t>Uncontrollable</t>
  </si>
  <si>
    <t>Net Entitlement after sharing of gains/(losses)</t>
  </si>
  <si>
    <t>Interest on Long-term Loan Capital</t>
  </si>
  <si>
    <t>Interest on Working Capital and on security deposits</t>
  </si>
  <si>
    <t>Contribution to Contingency reserves</t>
  </si>
  <si>
    <t>Return on Equity Capital</t>
  </si>
  <si>
    <t>Aggregate Revenue Requirement from Transmission Tariff</t>
  </si>
  <si>
    <t>Revenue from transmission tariff</t>
  </si>
  <si>
    <t>Long-term TSUs incl Distribution Licensees</t>
  </si>
  <si>
    <t>Medium Term OA Users</t>
  </si>
  <si>
    <t>Short-term OA Users</t>
  </si>
  <si>
    <t>Revenue Gap/(Surplus)</t>
  </si>
  <si>
    <r>
      <rPr>
        <b/>
        <sz val="11"/>
        <rFont val="Times New Roman"/>
        <family val="1"/>
      </rPr>
      <t>Note</t>
    </r>
    <r>
      <rPr>
        <sz val="11"/>
        <rFont val="Times New Roman"/>
        <family val="1"/>
      </rPr>
      <t>: Please give detailed explanation separately for the deviations on account of uncontrollable factors</t>
    </r>
  </si>
  <si>
    <t>*In case MTR Order is yet to be issued, then MYT Order values to be captured under this column</t>
  </si>
  <si>
    <t>Capital Cost Approval Petition Formats - Transmission</t>
  </si>
  <si>
    <t>Form 14.1 - Project Schedule</t>
  </si>
  <si>
    <t>Scheduled Date of Commercial Operation</t>
  </si>
  <si>
    <t>Actual Date of Commercial Operation of Transmission System</t>
  </si>
  <si>
    <t>Liquidated Damages recoverable as per provisions of Contract*</t>
  </si>
  <si>
    <r>
      <rPr>
        <b/>
        <sz val="11"/>
        <rFont val="Times New Roman"/>
        <family val="1"/>
      </rPr>
      <t>Note</t>
    </r>
    <r>
      <rPr>
        <sz val="11"/>
        <rFont val="Times New Roman"/>
        <family val="1"/>
      </rPr>
      <t>: * Applicable only for new Transmission Project for which Provisional/Final tariff approval is being sought</t>
    </r>
  </si>
  <si>
    <t>2. * Copies of Contract to be submitted</t>
  </si>
  <si>
    <t>Form 14.2 - Abstract of Capital Cost</t>
  </si>
  <si>
    <t>Capital Cost as per Original Estimates</t>
  </si>
  <si>
    <t>Actual Capital Cost as on COD of Transmission System</t>
  </si>
  <si>
    <t>Capital Cost excluding IDC &amp; Financing Charges</t>
  </si>
  <si>
    <t>Component 1</t>
  </si>
  <si>
    <t>Component 2</t>
  </si>
  <si>
    <t>Capital cost excluding IDC &amp; Financing Charges</t>
  </si>
  <si>
    <t>Interest During Construction (IDC) &amp; Financing Charges (FC)</t>
  </si>
  <si>
    <t>Total IDC &amp; FC</t>
  </si>
  <si>
    <t>Capital cost Including IDC &amp; Financing Charges</t>
  </si>
  <si>
    <t>Form 14.3 -Breakup of Capital Cost</t>
  </si>
  <si>
    <t xml:space="preserve">Break Down </t>
  </si>
  <si>
    <t>Break up of Capital Cost</t>
  </si>
  <si>
    <t xml:space="preserve">Variation </t>
  </si>
  <si>
    <t>Reasons for Variation</t>
  </si>
  <si>
    <t>Ordering Cost</t>
  </si>
  <si>
    <t>As on COD of Transmission System</t>
  </si>
  <si>
    <t>Contractors</t>
  </si>
  <si>
    <t>Foreign Currency Component (Specify Currency)</t>
  </si>
  <si>
    <t>Domestic Component</t>
  </si>
  <si>
    <t>Total Cost</t>
  </si>
  <si>
    <t>(c) = (a) + (b)</t>
  </si>
  <si>
    <t>(f) = (d) + (e)</t>
  </si>
  <si>
    <t>(g) = (f) - (c)</t>
  </si>
  <si>
    <t>Cost of Land</t>
  </si>
  <si>
    <t xml:space="preserve">Land </t>
  </si>
  <si>
    <t>Plant &amp; Equipment (BTG)</t>
  </si>
  <si>
    <t>Transmission Lines</t>
  </si>
  <si>
    <t>Susbstations Bays</t>
  </si>
  <si>
    <t>Taxes and Duties</t>
  </si>
  <si>
    <t>Custom Duty</t>
  </si>
  <si>
    <t>Other Taxes &amp; Duties</t>
  </si>
  <si>
    <t>Total Taxes &amp; Duties</t>
  </si>
  <si>
    <t xml:space="preserve">Interest During Construction (IDC) </t>
  </si>
  <si>
    <t>Financing Charges (FC)</t>
  </si>
  <si>
    <t>Capital cost including IDC &amp; FC</t>
  </si>
  <si>
    <t>Form 14.4 : Break up of Construction / Supply / Services</t>
  </si>
  <si>
    <t>Name / No. of Construction / Supply / Service Package</t>
  </si>
  <si>
    <t>Scope of works (in line with head of cost break-ups as applicable)</t>
  </si>
  <si>
    <t>Whether awarded through ICB/DCB/ Departmentally</t>
  </si>
  <si>
    <t>No. of bids recd.</t>
  </si>
  <si>
    <t>Date of Award</t>
  </si>
  <si>
    <t>Date of Start of Work</t>
  </si>
  <si>
    <t>Scheduled date of completion of work</t>
  </si>
  <si>
    <t>Actual date of completion of work</t>
  </si>
  <si>
    <t>Value of Award in Rs. Crore</t>
  </si>
  <si>
    <t>Firm or with Escalation in prices</t>
  </si>
  <si>
    <t>Total incl. Price Variation</t>
  </si>
  <si>
    <t>Actual expenditure till the completion or upto COD whichever is earlier (Rs. Crore)</t>
  </si>
  <si>
    <t>Form 14.5 : Financial Package</t>
  </si>
  <si>
    <t>Transmission System Cost as on COD (Rs Crore): _______________</t>
  </si>
  <si>
    <t>Date of Commercial Operation of Transmission System : _________________</t>
  </si>
  <si>
    <t>Original Financial Package</t>
  </si>
  <si>
    <t xml:space="preserve">Financial Package as on COD </t>
  </si>
  <si>
    <t xml:space="preserve">Currency </t>
  </si>
  <si>
    <t>Amount in foreign currency (for foreign loans)</t>
  </si>
  <si>
    <t>Equivalent Amount in Rs Crore</t>
  </si>
  <si>
    <t>Currency</t>
  </si>
  <si>
    <t>Loan</t>
  </si>
  <si>
    <t>Total Loan</t>
  </si>
  <si>
    <t>Equity-</t>
  </si>
  <si>
    <t>Foreign</t>
  </si>
  <si>
    <t xml:space="preserve">Domestic </t>
  </si>
  <si>
    <t>Internal Accurals</t>
  </si>
  <si>
    <t>Total Equity</t>
  </si>
  <si>
    <t>Undischarged Liabilities</t>
  </si>
  <si>
    <t>Debt : Equity Ratio (Excluding Undischarged Liabilities)</t>
  </si>
  <si>
    <t>Note : Please submit copy of sanction letters/Loan Agreements for each loan</t>
  </si>
  <si>
    <t>Form 14.6 : Details of Loans</t>
  </si>
  <si>
    <t>Source of Loan/Name of Agency</t>
  </si>
  <si>
    <t>Amount of Loan sanctioned (Rs. Crore)</t>
  </si>
  <si>
    <r>
      <t>Amount of Gross Loan drawn upto COD</t>
    </r>
    <r>
      <rPr>
        <vertAlign val="superscript"/>
        <sz val="11"/>
        <rFont val="Times New Roman"/>
        <family val="1"/>
      </rPr>
      <t xml:space="preserve"> </t>
    </r>
    <r>
      <rPr>
        <sz val="11"/>
        <rFont val="Times New Roman"/>
        <family val="1"/>
      </rPr>
      <t>(Rs. Crore)</t>
    </r>
  </si>
  <si>
    <r>
      <t>Interest Type</t>
    </r>
    <r>
      <rPr>
        <vertAlign val="superscript"/>
        <sz val="11"/>
        <rFont val="Times New Roman"/>
        <family val="1"/>
      </rPr>
      <t>1</t>
    </r>
  </si>
  <si>
    <t>Fixed Interest Rate, if applicable</t>
  </si>
  <si>
    <r>
      <t>Base Rate, if Floating Interest</t>
    </r>
    <r>
      <rPr>
        <vertAlign val="superscript"/>
        <sz val="11"/>
        <rFont val="Times New Roman"/>
        <family val="1"/>
      </rPr>
      <t>2</t>
    </r>
  </si>
  <si>
    <r>
      <t>Margin, if Floating Interest</t>
    </r>
    <r>
      <rPr>
        <vertAlign val="superscript"/>
        <sz val="11"/>
        <rFont val="Times New Roman"/>
        <family val="1"/>
      </rPr>
      <t>3</t>
    </r>
  </si>
  <si>
    <r>
      <t>Are there any Caps/Floor</t>
    </r>
    <r>
      <rPr>
        <vertAlign val="superscript"/>
        <sz val="11"/>
        <rFont val="Times New Roman"/>
        <family val="1"/>
      </rPr>
      <t>4</t>
    </r>
  </si>
  <si>
    <t>If above is yes,specify caps/floor</t>
  </si>
  <si>
    <r>
      <t>Moratorium Period</t>
    </r>
    <r>
      <rPr>
        <vertAlign val="superscript"/>
        <sz val="11"/>
        <rFont val="Times New Roman"/>
        <family val="1"/>
      </rPr>
      <t>5</t>
    </r>
  </si>
  <si>
    <t>Moratorium effective from</t>
  </si>
  <si>
    <r>
      <t>Repayment Period</t>
    </r>
    <r>
      <rPr>
        <vertAlign val="superscript"/>
        <sz val="11"/>
        <rFont val="Times New Roman"/>
        <family val="1"/>
      </rPr>
      <t>6</t>
    </r>
  </si>
  <si>
    <t>Repayment effective from</t>
  </si>
  <si>
    <r>
      <t>Repayment Frequency</t>
    </r>
    <r>
      <rPr>
        <vertAlign val="superscript"/>
        <sz val="11"/>
        <rFont val="Times New Roman"/>
        <family val="1"/>
      </rPr>
      <t>7</t>
    </r>
  </si>
  <si>
    <r>
      <t>Repayment Instalment</t>
    </r>
    <r>
      <rPr>
        <vertAlign val="superscript"/>
        <sz val="11"/>
        <rFont val="Times New Roman"/>
        <family val="1"/>
      </rPr>
      <t>8,9,10</t>
    </r>
  </si>
  <si>
    <r>
      <t>Base Exchange Rate</t>
    </r>
    <r>
      <rPr>
        <vertAlign val="superscript"/>
        <sz val="11"/>
        <rFont val="Times New Roman"/>
        <family val="1"/>
      </rPr>
      <t>15</t>
    </r>
  </si>
  <si>
    <r>
      <t>1</t>
    </r>
    <r>
      <rPr>
        <sz val="11"/>
        <rFont val="Times New Roman"/>
        <family val="1"/>
      </rPr>
      <t xml:space="preserve"> Interest type means whether the interest is fixed or floating.</t>
    </r>
  </si>
  <si>
    <r>
      <t>2</t>
    </r>
    <r>
      <rPr>
        <sz val="11"/>
        <rFont val="Times New Roman"/>
        <family val="1"/>
      </rPr>
      <t xml:space="preserve"> Base rate means the base as PLR, LIBOR etc. over which the margin is to be added. Applicable base rate on different dates from the date of drawal may also be enclosed.</t>
    </r>
  </si>
  <si>
    <r>
      <t xml:space="preserve">3 </t>
    </r>
    <r>
      <rPr>
        <sz val="11"/>
        <rFont val="Times New Roman"/>
        <family val="1"/>
      </rPr>
      <t>Margin means the points over and above the floating rate.</t>
    </r>
  </si>
  <si>
    <r>
      <t>4</t>
    </r>
    <r>
      <rPr>
        <sz val="11"/>
        <rFont val="Times New Roman"/>
        <family val="1"/>
      </rPr>
      <t xml:space="preserve"> At times caps/floor are put at which the floating rates are frozen. If such a condition exists, specify the limits.</t>
    </r>
  </si>
  <si>
    <r>
      <t>5</t>
    </r>
    <r>
      <rPr>
        <sz val="11"/>
        <rFont val="Times New Roman"/>
        <family val="1"/>
      </rPr>
      <t xml:space="preserve"> Moratorium period refers to the period during which loan repayment is not required.</t>
    </r>
  </si>
  <si>
    <r>
      <t>6</t>
    </r>
    <r>
      <rPr>
        <sz val="11"/>
        <rFont val="Times New Roman"/>
        <family val="1"/>
      </rPr>
      <t xml:space="preserve"> Repayment period means the repayment of loan such as  10 years, 15 years etc.</t>
    </r>
  </si>
  <si>
    <r>
      <t>7</t>
    </r>
    <r>
      <rPr>
        <sz val="11"/>
        <rFont val="Times New Roman"/>
        <family val="1"/>
      </rPr>
      <t xml:space="preserve"> Repayment frequency means the interval at which the debt servicing is to be done such as monthly, quarterly, half yearly, etc</t>
    </r>
  </si>
  <si>
    <r>
      <t>8</t>
    </r>
    <r>
      <rPr>
        <sz val="11"/>
        <rFont val="Times New Roman"/>
        <family val="1"/>
      </rPr>
      <t xml:space="preserve"> Where there is more than one drawal/repayment for a loan, the date &amp; amount of each drawal/repayement may also be given seperately</t>
    </r>
  </si>
  <si>
    <r>
      <t>9</t>
    </r>
    <r>
      <rPr>
        <sz val="11"/>
        <rFont val="Times New Roman"/>
        <family val="1"/>
      </rPr>
      <t xml:space="preserve"> If the repayment  instalment amount and repayment date  can not be worked out from the data furnished above, the repayment schedule to be  furnished seperately.</t>
    </r>
  </si>
  <si>
    <r>
      <t>10</t>
    </r>
    <r>
      <rPr>
        <sz val="11"/>
        <rFont val="Times New Roman"/>
        <family val="1"/>
      </rPr>
      <t xml:space="preserve"> In case of Foreign loan,date of each  drawal &amp; repayment alongwith exchange rate at that date may be given.</t>
    </r>
  </si>
  <si>
    <r>
      <t>11</t>
    </r>
    <r>
      <rPr>
        <sz val="11"/>
        <rFont val="Times New Roman"/>
        <family val="1"/>
      </rPr>
      <t xml:space="preserve"> Base exchange rate means the exchange rate prevailing as on COD </t>
    </r>
  </si>
  <si>
    <t>Form 14.7: Details of Additional Capitalisation after COD</t>
  </si>
  <si>
    <t>Year</t>
  </si>
  <si>
    <t xml:space="preserve">Work/Equipment added after COD </t>
  </si>
  <si>
    <t>Amount Capitalised / Proposed to be capitalised</t>
  </si>
  <si>
    <t>Justification</t>
  </si>
  <si>
    <r>
      <rPr>
        <b/>
        <sz val="11"/>
        <rFont val="Times New Roman"/>
        <family val="1"/>
      </rPr>
      <t>Note</t>
    </r>
    <r>
      <rPr>
        <sz val="11"/>
        <rFont val="Times New Roman"/>
        <family val="1"/>
      </rPr>
      <t>: Applicable only for new Transmission Project for which Provisional/Final tariff approval is being sought</t>
    </r>
  </si>
  <si>
    <t>Claim for additional capitalization shall be substantiated with the technical justification duly supported by documentary evidence</t>
  </si>
  <si>
    <t>Transmission Company shall submit a report on impact assessment done by any reputed third-party technical expert/agency for additional capitalization necessary for efficient operation</t>
  </si>
  <si>
    <t>Form 14.8: Financing of Additional Capitalisation</t>
  </si>
  <si>
    <t>Financial Year (Starting from COD)</t>
  </si>
  <si>
    <t>Amount capitalised</t>
  </si>
  <si>
    <t>Financing Details</t>
  </si>
  <si>
    <t>Internal Resources</t>
  </si>
  <si>
    <t>Others (Pls provide details)</t>
  </si>
  <si>
    <t>Form 14.9: Drawdown Schedule and Computation of IDC and Financing Charges</t>
  </si>
  <si>
    <t>Sl. No.</t>
  </si>
  <si>
    <t>Financial Year</t>
  </si>
  <si>
    <t>Year 1</t>
  </si>
  <si>
    <t>………</t>
  </si>
  <si>
    <t>Year n</t>
  </si>
  <si>
    <t>Draw Down</t>
  </si>
  <si>
    <t>Q-1</t>
  </si>
  <si>
    <t>Q-2</t>
  </si>
  <si>
    <t>Q-3</t>
  </si>
  <si>
    <t>Q-4</t>
  </si>
  <si>
    <t>Loans</t>
  </si>
  <si>
    <t xml:space="preserve">Draw down Amount </t>
  </si>
  <si>
    <t>Cumulative</t>
  </si>
  <si>
    <t>Financing charges/Guarantee Fee</t>
  </si>
  <si>
    <t>Other (pls provide details)</t>
  </si>
  <si>
    <t>……..</t>
  </si>
  <si>
    <t>Total Loans</t>
  </si>
  <si>
    <t>Equity drawn</t>
  </si>
  <si>
    <t>Domestic/Foreign</t>
  </si>
  <si>
    <t xml:space="preserve">Internal Accruals </t>
  </si>
  <si>
    <t>Total equity deployed</t>
  </si>
  <si>
    <t xml:space="preserve">Form 15:  Depreciation Schedule </t>
  </si>
  <si>
    <t>Land</t>
  </si>
  <si>
    <t>Asset as on 1st April/Asset Addition during the Year</t>
  </si>
  <si>
    <t>Depreciation as on 1st April 2005</t>
  </si>
  <si>
    <t>Depreciation Rate for that Year</t>
  </si>
  <si>
    <t>Depreciation during the Year</t>
  </si>
  <si>
    <t>Depriciation as on 1st april</t>
  </si>
  <si>
    <t>Asset crossing 90% depreciation</t>
  </si>
  <si>
    <t>Remaining Depreciable value</t>
  </si>
  <si>
    <t>2005-06</t>
  </si>
  <si>
    <t>2006-07</t>
  </si>
  <si>
    <t>2007-08</t>
  </si>
  <si>
    <t>2008-09</t>
  </si>
  <si>
    <t>2009-10</t>
  </si>
  <si>
    <t>2010-11</t>
  </si>
  <si>
    <t>2011-12</t>
  </si>
  <si>
    <t>2012-13</t>
  </si>
  <si>
    <t>2014-15</t>
  </si>
  <si>
    <t>2015-16</t>
  </si>
  <si>
    <t>2016-17</t>
  </si>
  <si>
    <t>2017-18</t>
  </si>
  <si>
    <t>2018-19</t>
  </si>
  <si>
    <t>2019-20</t>
  </si>
  <si>
    <t>2020-21</t>
  </si>
  <si>
    <t>2021-22</t>
  </si>
  <si>
    <t>2022-23</t>
  </si>
  <si>
    <t>2023-24</t>
  </si>
  <si>
    <t xml:space="preserve">Opening </t>
  </si>
  <si>
    <t>2013-14</t>
  </si>
  <si>
    <t>2006-17</t>
  </si>
  <si>
    <t>2024-25</t>
  </si>
  <si>
    <t>2025-26</t>
  </si>
  <si>
    <t>2026-27</t>
  </si>
  <si>
    <t>2027-28</t>
  </si>
  <si>
    <t>2028-29</t>
  </si>
  <si>
    <t>2029-30</t>
  </si>
  <si>
    <t>Asset as on 1st April 2005</t>
  </si>
  <si>
    <t xml:space="preserve">Form 7: Return on Regulatory Equity for 5th Control Period </t>
  </si>
  <si>
    <t>Computers</t>
  </si>
  <si>
    <t>Furniture and Fixtures</t>
  </si>
  <si>
    <t>Tools &amp; Tackles</t>
  </si>
  <si>
    <t>Depreciation Rate for 12 years</t>
  </si>
  <si>
    <t>Useful Life</t>
  </si>
  <si>
    <t>Balance Life</t>
  </si>
  <si>
    <t>Depreciation Rate post 12 years</t>
  </si>
  <si>
    <t>FY 2021-22</t>
  </si>
  <si>
    <t>Units</t>
  </si>
  <si>
    <t>Int. on Loan</t>
  </si>
  <si>
    <t>IoWC</t>
  </si>
  <si>
    <t>Base RoE</t>
  </si>
  <si>
    <t>Effective Tax Rate</t>
  </si>
  <si>
    <t>Int. rate for Contingency Reserves</t>
  </si>
  <si>
    <t>Depreciation</t>
  </si>
  <si>
    <t>Net Aggregate Revenue Requirement</t>
  </si>
  <si>
    <t>Add: Net Entitlement after sharing of gains/(losses) of O&amp;M / IoWC</t>
  </si>
  <si>
    <t>Add: Gap/ (Surplus) for FY 2022-23</t>
  </si>
  <si>
    <t>Add: Gap/ (Surplus) for FY 2023-24</t>
  </si>
  <si>
    <t>Add: Gap/ (Surplus) for FY 2024-25</t>
  </si>
  <si>
    <t>Carrying cost/ Holding Cost for FY 2022-23 to FY 2023-24</t>
  </si>
  <si>
    <t>Past Gap for FY 2019-20 to FY 2022-23 including Carrying cost - as approved in Case No.234 of 2022</t>
  </si>
  <si>
    <t>Annual Transmission Charges (Rs. Crore)</t>
  </si>
  <si>
    <t>Target Availability (%)</t>
  </si>
  <si>
    <t>Actual Availability Achieved (%)</t>
  </si>
  <si>
    <t>Primary Cap for Incentive availability</t>
  </si>
  <si>
    <t>Upper Cap for Incentive availability</t>
  </si>
  <si>
    <t>Additional rate of return on equity (%)</t>
  </si>
  <si>
    <t xml:space="preserve"> </t>
  </si>
  <si>
    <t>Accounts</t>
  </si>
  <si>
    <t>ARR</t>
  </si>
  <si>
    <t>Diff</t>
  </si>
  <si>
    <t xml:space="preserve">Revenue from Operations </t>
  </si>
  <si>
    <t xml:space="preserve">Revenue From transmission </t>
  </si>
  <si>
    <t>Less: Impact due to Truing up</t>
  </si>
  <si>
    <t>Other Income</t>
  </si>
  <si>
    <t>DPC</t>
  </si>
  <si>
    <t>Gain on Sale of Investment</t>
  </si>
  <si>
    <t>Gain on Financial Assets</t>
  </si>
  <si>
    <t>Others</t>
  </si>
  <si>
    <t>Total Income</t>
  </si>
  <si>
    <t>Term Loan interest</t>
  </si>
  <si>
    <t>Other Interest Expenses</t>
  </si>
  <si>
    <t>Interest on Tax</t>
  </si>
  <si>
    <t>Other borrowing Cost</t>
  </si>
  <si>
    <t>Interest payment against arbitration order</t>
  </si>
  <si>
    <t xml:space="preserve">Depreciation </t>
  </si>
  <si>
    <t>Other Expenses</t>
  </si>
  <si>
    <t>CSR</t>
  </si>
  <si>
    <t>Total Expenses</t>
  </si>
  <si>
    <t>PBT</t>
  </si>
  <si>
    <t>Current Tax</t>
  </si>
  <si>
    <t>Deferred Tax</t>
  </si>
  <si>
    <t>MAT Adjustment</t>
  </si>
  <si>
    <t>Earlier Tax Adjustment</t>
  </si>
  <si>
    <t>PAT</t>
  </si>
  <si>
    <t xml:space="preserve">Other Comprehensive income </t>
  </si>
  <si>
    <t xml:space="preserve">Income Tax related item </t>
  </si>
  <si>
    <t xml:space="preserve">Revenue Reconciliation </t>
  </si>
  <si>
    <t>Revenue recovered for the year</t>
  </si>
  <si>
    <t>Annual Accounts</t>
  </si>
  <si>
    <t>Remeasurement of post-employment benefit obligations</t>
  </si>
  <si>
    <t>Miscellaneous Income</t>
  </si>
  <si>
    <t>Loan 1 - L&amp;T 1</t>
  </si>
  <si>
    <t>Amravati Power Transmission Company Limited</t>
  </si>
  <si>
    <t>Details of Interest on Working Capital for FY 2019-20, FY 2020-21 &amp; FY 2021-22</t>
  </si>
  <si>
    <t>Date</t>
  </si>
  <si>
    <t>No. of Days</t>
  </si>
  <si>
    <t>Opening SBI Base Rate / MCLR Rare</t>
  </si>
  <si>
    <t>Revision in Base Rate by RBI</t>
  </si>
  <si>
    <t>Closing Rate</t>
  </si>
  <si>
    <t>Weighted Average Rate</t>
  </si>
  <si>
    <t>Plus 150 Basis Point</t>
  </si>
  <si>
    <t>Total Weighted Average Rate</t>
  </si>
  <si>
    <t>https://www.sbi.co.in/portal/web/interest-rates/mclr-historical-data</t>
  </si>
  <si>
    <t xml:space="preserve">Particulars </t>
  </si>
  <si>
    <t>Entitlement as
per Regulations/
Order</t>
  </si>
  <si>
    <t>Variation</t>
  </si>
  <si>
    <t>1/3rd of efficiency gain and 2/3rd of Efficiency loss retained by APTCL</t>
  </si>
  <si>
    <t>Net entitlement after sharing of gains /losses</t>
  </si>
  <si>
    <t>O &amp; M Expense</t>
  </si>
  <si>
    <t>Interest on working capital</t>
  </si>
  <si>
    <t xml:space="preserve">Total </t>
  </si>
  <si>
    <t>MTR Order</t>
  </si>
  <si>
    <t>Amount Written Off</t>
  </si>
  <si>
    <t>Total ARR</t>
  </si>
  <si>
    <t xml:space="preserve">Revenue </t>
  </si>
  <si>
    <t>Gap</t>
  </si>
  <si>
    <t>Opening Balance</t>
  </si>
  <si>
    <t>Addition during the year (Excl. Incentive)*</t>
  </si>
  <si>
    <t>Recovery during the year</t>
  </si>
  <si>
    <t>Closing Balance</t>
  </si>
  <si>
    <t>Average Balance</t>
  </si>
  <si>
    <t>Wtg. Average rate of Interest</t>
  </si>
  <si>
    <t>Carrying / (Holding) Cost</t>
  </si>
  <si>
    <t>Effective carrying/ (holding) cost for Period from FY 2022-23 to FY 2024-25</t>
  </si>
  <si>
    <t xml:space="preserve">Plant &amp; Machinery </t>
  </si>
  <si>
    <t>Long Term Loan 4</t>
  </si>
  <si>
    <t>Long Term Loan 5</t>
  </si>
  <si>
    <t>Long Term Loan 6</t>
  </si>
  <si>
    <t>Long Term Loan 7</t>
  </si>
  <si>
    <t>Long Term Loan 8</t>
  </si>
  <si>
    <t>JAIGAD POWER TRANSCO LIMITED (JPTL)</t>
  </si>
  <si>
    <t xml:space="preserve">Jaigad – New Koyna Transmission Line </t>
  </si>
  <si>
    <t xml:space="preserve">Jaigad – Karad Transmission Line </t>
  </si>
  <si>
    <t>1b</t>
  </si>
  <si>
    <t>OPEX schemes</t>
  </si>
  <si>
    <t>True=up</t>
  </si>
  <si>
    <t>Additional OPEX/Additional O&amp;M Expenses</t>
  </si>
  <si>
    <t>Past Gap for FY 2019-20 to FY 2022-23 including Carrying cost - as approved in Case No.213 of 2022</t>
  </si>
  <si>
    <t>ESOP Expenses</t>
  </si>
  <si>
    <t>Staff Insurance</t>
  </si>
  <si>
    <t>Loss on Admin assets written Off</t>
  </si>
  <si>
    <t>Jaigad Power Transco Ltd</t>
  </si>
  <si>
    <t>Purchase Date</t>
  </si>
  <si>
    <t>Face Value</t>
  </si>
  <si>
    <t>Purchase Amt</t>
  </si>
  <si>
    <t>Int Rate</t>
  </si>
  <si>
    <t>Cont.  Reserve As per Final ARR</t>
  </si>
  <si>
    <t>FY 2019-20</t>
  </si>
  <si>
    <t>FY 2020-21</t>
  </si>
  <si>
    <t>FY 2010-11 to FY 2012-13</t>
  </si>
  <si>
    <t>FY 2013-14</t>
  </si>
  <si>
    <t>FY 2014-15</t>
  </si>
  <si>
    <t>FY 2015-16</t>
  </si>
  <si>
    <t>FY 2016-17</t>
  </si>
  <si>
    <t>FY 2017-18</t>
  </si>
  <si>
    <t>FY 2018-19</t>
  </si>
  <si>
    <t>Total Interest on Cont. Reserve Investment</t>
  </si>
  <si>
    <t>Financial Assets</t>
  </si>
  <si>
    <t>Other Misc. Income</t>
  </si>
  <si>
    <t xml:space="preserve">Provision written back </t>
  </si>
  <si>
    <t>As per Case no. 294 of 2019 - dated 30th March 2020</t>
  </si>
  <si>
    <t>As per Case no. 213 of 2022 - dated 31st March 2023</t>
  </si>
  <si>
    <t>Less: Rebate</t>
  </si>
  <si>
    <t xml:space="preserve">Overhauling </t>
  </si>
  <si>
    <t>OVERHAULING EXPENSES FOR CIRCUIT BREAKER AND ISOLATOR (Supply + Services) from FY 2019-20 to FY 2022-23</t>
  </si>
  <si>
    <t>Sr. No</t>
  </si>
  <si>
    <t>PO no</t>
  </si>
  <si>
    <t>Barcode</t>
  </si>
  <si>
    <t>Vendor Code</t>
  </si>
  <si>
    <t>Vendor</t>
  </si>
  <si>
    <t>Description</t>
  </si>
  <si>
    <t>GRN/SRN no</t>
  </si>
  <si>
    <t>Projected expenditure as per Data gap set 1, 17.11.22</t>
  </si>
  <si>
    <t>Actual CB overhauling expenditure</t>
  </si>
  <si>
    <t>JPTL Remarks on manpower &amp; OEM engineer charges</t>
  </si>
  <si>
    <t>ENRGPO1X199100073</t>
  </si>
  <si>
    <t>GE T&amp;D India Limited</t>
  </si>
  <si>
    <t>Breaker Spares</t>
  </si>
  <si>
    <t>ENRGPO1X209100008</t>
  </si>
  <si>
    <t>EPTECH ENTERPRISES</t>
  </si>
  <si>
    <t>SF6 Gas</t>
  </si>
  <si>
    <t>ENRGPO6X209100036</t>
  </si>
  <si>
    <t>Breaker OH engineer</t>
  </si>
  <si>
    <t>ENRGPO6X219100077</t>
  </si>
  <si>
    <t>ENRGPO6X209100023</t>
  </si>
  <si>
    <t>Breaker OH manpower</t>
  </si>
  <si>
    <t xml:space="preserve">CB overhauling Manpower, SF6 gas handling plant &amp; SF6 gas analyser kit deployed for Jaigad-Karad ckt-I (R &amp; Y pole) </t>
  </si>
  <si>
    <t>ENRGPO6X209100025</t>
  </si>
  <si>
    <t>PRAGATI MANOJ BHOJANE</t>
  </si>
  <si>
    <t>Crane Services</t>
  </si>
  <si>
    <t>ENRGPO1X219100051</t>
  </si>
  <si>
    <t xml:space="preserve">SF6 Gas </t>
  </si>
  <si>
    <t>ENRGPO1X219100075</t>
  </si>
  <si>
    <t>FY 21-22 &amp; FY 22-23</t>
  </si>
  <si>
    <t>ENRGPO1X229100009</t>
  </si>
  <si>
    <t xml:space="preserve">In H-1 FY 22-23, JPTL has undertaken CB overhauling of 2 nos of C.B at Jaigad-Karad Ckt-II and Jaigad-New koyna Ckt-I respectively. Hence CB overhauling Manpower, SF6 gas handling plant &amp; SF6 gas analyser kit deployed for attending two nos of breakers. Based on previous experience, agency has increased service charges approx 22%  mainly due to deployement of highly skilled manpower for undertaking CB overhauling works and re-deployment of SF6 gas analyser kit and SF6 gas handling for two different sub station as per service executed in FY 20-21. </t>
  </si>
  <si>
    <t>ENRGPO1X229100012</t>
  </si>
  <si>
    <t>ENRGPO1X229100008</t>
  </si>
  <si>
    <t>KASAR CONSTRUCTION</t>
  </si>
  <si>
    <t>ENRGPO1X229100027</t>
  </si>
  <si>
    <t>AANSHUS INNOVATIVE CREATIONS</t>
  </si>
  <si>
    <t>FY 22-23 (H-2)</t>
  </si>
  <si>
    <t>ENRGPO6X239100004</t>
  </si>
  <si>
    <t>ENRGPO1X229100049</t>
  </si>
  <si>
    <t>VENKATESH ELECTRICALS</t>
  </si>
  <si>
    <t>Dn20 Adaptor for CB</t>
  </si>
  <si>
    <t>ENRGPO6X239100003</t>
  </si>
  <si>
    <t>CHIPLUN CRANE SERVICE</t>
  </si>
  <si>
    <t>ENRGPO1X229100002</t>
  </si>
  <si>
    <t>SCOPE T&amp;M PVT LTD</t>
  </si>
  <si>
    <t>Mechanism Transducer</t>
  </si>
  <si>
    <t>ENRGPO6X199100112</t>
  </si>
  <si>
    <t xml:space="preserve"> STR ENGINEERS</t>
  </si>
  <si>
    <t>PG Isolator Servicing</t>
  </si>
  <si>
    <t>ENRGPO6X229100127</t>
  </si>
  <si>
    <t>BIMCO ISOLATORS LTD</t>
  </si>
  <si>
    <t>Material consumed from inventory during isolator servicing</t>
  </si>
  <si>
    <t>Document no 2600000061</t>
  </si>
  <si>
    <t>H-2, FY 2022-23</t>
  </si>
  <si>
    <t>Deleted PO as agency failed to mobilise GE service engineer and order awarded directly to GE T&amp;D wide PO 1850000330</t>
  </si>
  <si>
    <t>Mail communication from Venkatesh regarding non availability of OEM engineer to supervise overhauling works</t>
  </si>
  <si>
    <t>ENRGPO6X239100026</t>
  </si>
  <si>
    <t>GE T&amp;D INDIA LIMITED</t>
  </si>
  <si>
    <t>M/s. Venkatesh regret to deploy OEM engineer manpower for overhauling works in March-23. Hence JPTL has requested OEM directly to deploy manpower considering outage applied for March-23. Mail correspondense with OEM (GE T&amp;D) is enclosed herewith. Hence PO awarded to OEM (M/s. GE T&amp;D India Ltd). Due to this, CB overhauling work proposed for Jaigad-Karad ckt-I (B-Pole) not carried out as per schedule in FY 2022-23.</t>
  </si>
  <si>
    <t>ENRGPO1X229100050</t>
  </si>
  <si>
    <t>ENRGPO1X229100043</t>
  </si>
  <si>
    <t>Mechanism Spares</t>
  </si>
  <si>
    <t>Document no. 2600000097, 2600000098, 2600000099, 2600000100, 2600000004, 2600000005, 2600000006, 2600000007, 2600000008, 2600000010</t>
  </si>
  <si>
    <t>Material consumed from inventory</t>
  </si>
  <si>
    <t>less</t>
  </si>
  <si>
    <t>Material in stock &amp; will be consumed in FY 2022-23 during overhauling works</t>
  </si>
  <si>
    <t>Actual expenditure since FY 2019-20 till FY 2022-23</t>
  </si>
  <si>
    <t>Expenses considered till FY 22-23</t>
  </si>
  <si>
    <t>FY 20-21</t>
  </si>
  <si>
    <t>FY 21-22</t>
  </si>
  <si>
    <t>FY 22-23 (H1)</t>
  </si>
  <si>
    <t>Op. Balance</t>
  </si>
  <si>
    <t xml:space="preserve">Amount incurred during the year </t>
  </si>
  <si>
    <t xml:space="preserve">Amount transferred to / From Inventory </t>
  </si>
  <si>
    <t xml:space="preserve">Amount booked during the year </t>
  </si>
  <si>
    <t>Cl. Balance</t>
  </si>
  <si>
    <t>Particular</t>
  </si>
  <si>
    <t>UOM</t>
  </si>
  <si>
    <t>Quantity</t>
  </si>
  <si>
    <t>Amount in Cr</t>
  </si>
  <si>
    <t>Implementation Year</t>
  </si>
  <si>
    <t>Emergency Restoration System</t>
  </si>
  <si>
    <t>Set</t>
  </si>
  <si>
    <t>05 Nos of tower including all acce. Already approved for FY 2024-25</t>
  </si>
  <si>
    <t>Emergency Portable Light</t>
  </si>
  <si>
    <t>PLCC Upgradation at New Koyna and Karad Substation</t>
  </si>
  <si>
    <t>Approved for FY 2023-24, Currently technical clearance from Karad circle (PAC) is under progress</t>
  </si>
  <si>
    <t>Tower Footing Resistance Meter</t>
  </si>
  <si>
    <t>Nos</t>
  </si>
  <si>
    <t>Binoculars</t>
  </si>
  <si>
    <t>As existing binoculars becomes non usable, Last purchased in 2017</t>
  </si>
  <si>
    <t>Laptop</t>
  </si>
  <si>
    <t xml:space="preserve">Nos </t>
  </si>
  <si>
    <t>HP desktop (2016) &amp; Dell (2018) to be replaced as per JSW IT policy</t>
  </si>
  <si>
    <t>Travelling wave Fault location system</t>
  </si>
  <si>
    <t>Solar Roof shade for office building</t>
  </si>
  <si>
    <t>Control switching device</t>
  </si>
  <si>
    <t>OPGW- (48 core)  for JGD-NKY ckt-I (55kM)</t>
  </si>
  <si>
    <t>kM</t>
  </si>
  <si>
    <t>Face recognition attendance machines</t>
  </si>
  <si>
    <t>Transmission line surge arrestor</t>
  </si>
  <si>
    <t xml:space="preserve">Asset Block </t>
  </si>
  <si>
    <r>
      <rPr>
        <sz val="10"/>
        <rFont val="Times New Roman"/>
        <family val="1"/>
      </rPr>
      <t>In FY 20-21 OEM (M/s GE T&amp;D) 32K/day charged towards deploying OEM engineer to supervise overhauling works+ travelling expenses , Total manday= 4 nos for attending Overhauling on Jaigad-Karad ckt-I (R &amp; Y pole)…</t>
    </r>
    <r>
      <rPr>
        <b/>
        <sz val="11"/>
        <color theme="1"/>
        <rFont val="Times New Roman"/>
        <family val="1"/>
      </rPr>
      <t xml:space="preserve">                                 Say Per pole cost 0.802 lakh</t>
    </r>
  </si>
  <si>
    <r>
      <t xml:space="preserve">In H-1, FY 22-23, OEM (M/s. GE  T&amp;D) 39K/day charged towards deploying OEM engineer to supervise overhauling works + travelling expenses , Total manday= 11 nos for supervising Overhauling on two breakers, Jaigad-karad ckt-II as well as Jaigad-Newnkoyna ckt-I (Total 6 poles)... </t>
    </r>
    <r>
      <rPr>
        <b/>
        <sz val="11"/>
        <color theme="1"/>
        <rFont val="Times New Roman"/>
        <family val="1"/>
      </rPr>
      <t>Per Pole cost comes to INR 0.91 lakh in H-1,FY 22-23 which is barely 13.5% hike in two financial year as compared to work executed in FY 20-21</t>
    </r>
  </si>
  <si>
    <r>
      <t xml:space="preserve">For H-2, FY 22-23 CB overhauling works PO awarded to L-1 agency for Jaigad-New koyna Ckt-II (for 3 poles) with 35% lower rates as compared to L-2 agency. </t>
    </r>
    <r>
      <rPr>
        <b/>
        <sz val="11"/>
        <color theme="1"/>
        <rFont val="Times New Roman"/>
        <family val="1"/>
      </rPr>
      <t xml:space="preserve">However, annually 5-6% optimum hike  given by commercial for Last PO items. Hence requested to kindly consider actual expenditure occurred in H-2 FY 22-23 </t>
    </r>
  </si>
  <si>
    <t>Additional Transmission Charges</t>
  </si>
  <si>
    <t>Note: The additional transmission charges were billed by MSETCL (STU) to the transmission system users based on the usage of the transmission lines and accordingly the additional transmission charges were passed to the transmission licencees.</t>
  </si>
  <si>
    <t>Income from Additional Transmission Charges</t>
  </si>
  <si>
    <t>Class Description</t>
  </si>
  <si>
    <t>Put to Use Date</t>
  </si>
  <si>
    <t>Gross Block</t>
  </si>
  <si>
    <t>Accumulated Depreciation</t>
  </si>
  <si>
    <t>Balance W/off</t>
  </si>
  <si>
    <t>Office Equipments</t>
  </si>
  <si>
    <t>Furniture &amp; Fixture-Others</t>
  </si>
  <si>
    <t xml:space="preserve">Debt </t>
  </si>
  <si>
    <t>Debt Claimed</t>
  </si>
  <si>
    <t>Balance Debt Written off</t>
  </si>
  <si>
    <t>Add: Gap / (Surplus) for True-up FY 2019-20</t>
  </si>
  <si>
    <t>Add: Gap / (Surplus) for True-up FY 2020-21</t>
  </si>
  <si>
    <t>Add: Gap / (Surplus) for True-up FY 2021-22</t>
  </si>
  <si>
    <t>Add: Gap / (Surplus) for True-up FY 2022-23</t>
  </si>
  <si>
    <t>Carrying Cost/ (Holding Cost) of above Revenue Gap/ (Surplus)</t>
  </si>
  <si>
    <t>Total Past Gap allowed to be recovered in FY 2023-24</t>
  </si>
  <si>
    <t>Gap during the year exluding incentive</t>
  </si>
  <si>
    <t>Weighted Average Rate of Interest</t>
  </si>
  <si>
    <t>Carrying/(Holding) cost</t>
  </si>
  <si>
    <t>Cummulative past gap incl. carrying cost</t>
  </si>
  <si>
    <t xml:space="preserve">For Jaigad Karad line 3 &amp; 4. </t>
  </si>
  <si>
    <t>Cont.  Reserve</t>
  </si>
  <si>
    <t xml:space="preserve">Less: Reduction for restoration of tower </t>
  </si>
  <si>
    <t>Case No. 213 of 2022</t>
  </si>
  <si>
    <t>Less: Additional OPEX</t>
  </si>
  <si>
    <t>Less: Civil Expenses - Capitalised in nature claimed as additional O&amp;M</t>
  </si>
  <si>
    <t xml:space="preserve">Miscellaneous Income </t>
  </si>
  <si>
    <t xml:space="preserve">Guest House capitalisation </t>
  </si>
  <si>
    <t>NOT APPLICABLE</t>
  </si>
  <si>
    <t xml:space="preserve">Calculation of Interest on total </t>
  </si>
  <si>
    <t>Calculation of Interest on existing loan</t>
  </si>
  <si>
    <t>Calculation of Interest on New Loan</t>
  </si>
  <si>
    <t>b) Non-DPR Schemes (Yet to be approved)</t>
  </si>
  <si>
    <t>Submitted</t>
  </si>
  <si>
    <t xml:space="preserve">Ref. </t>
  </si>
  <si>
    <t>OPGW- (48 core) for JGD-NKY ckt-I (55kM)</t>
  </si>
  <si>
    <t>Normative Debt @70%</t>
  </si>
  <si>
    <t>70:30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</si>
</sst>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4" formatCode="_ &quot;₹&quot;\ * #,##0.00_ ;_ &quot;₹&quot;\ * \-#,##0.00_ ;_ &quot;₹&quot;\ * &quot;-&quot;??_ ;_ @_ "/>
    <numFmt numFmtId="43" formatCode="_ * #,##0.00_ ;_ * \-#,##0.00_ ;_ * &quot;-&quot;??_ ;_ @_ "/>
    <numFmt numFmtId="164" formatCode="_(* #,##0.00_);_(* \(#,##0.00\);_(* &quot;-&quot;??_);_(@_)"/>
    <numFmt numFmtId="165" formatCode="_-* #,##0.00_-;\-* #,##0.00_-;_-* &quot;-&quot;??_-;_-@_-"/>
    <numFmt numFmtId="166" formatCode="0.00_)"/>
    <numFmt numFmtId="167" formatCode="&quot;ß&quot;#,##0.00_);\(&quot;ß&quot;#,##0.00\)"/>
    <numFmt numFmtId="168" formatCode="[$-409]d\-mmm\-yy;@"/>
    <numFmt numFmtId="169" formatCode="0.0"/>
    <numFmt numFmtId="170" formatCode="0.00000"/>
    <numFmt numFmtId="171" formatCode="0.0000"/>
    <numFmt numFmtId="172" formatCode="0.000000000000000%"/>
    <numFmt numFmtId="173" formatCode="0.000"/>
    <numFmt numFmtId="174" formatCode="_(* #,##0_);_(* \(#,##0\);_(* &quot;-&quot;??_);_(@_)"/>
    <numFmt numFmtId="175" formatCode="_-* #,##0_-;\-* #,##0_-;_-* &quot;-&quot;??_-;_-@_-"/>
    <numFmt numFmtId="176" formatCode="_ * #,##0_ ;_ * \-#,##0_ ;_ * &quot;-&quot;??_ ;_ @_ "/>
    <numFmt numFmtId="177" formatCode="[$-409]d\-mmm\-yy"/>
    <numFmt numFmtId="178" formatCode="0.00000%"/>
    <numFmt numFmtId="179" formatCode="_ * #,##0.000_ ;_ * \-#,##0.000_ ;_ * &quot;-&quot;??_ ;_ @_ "/>
  </numFmts>
  <fonts count="6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Times New Roman"/>
      <family val="1"/>
    </font>
    <font>
      <b/>
      <sz val="11"/>
      <name val="Times New Roman"/>
      <family val="1"/>
    </font>
    <font>
      <sz val="10"/>
      <name val="Times New Roman"/>
      <family val="1"/>
    </font>
    <font>
      <b/>
      <sz val="11"/>
      <color indexed="8"/>
      <name val="Times New Roman"/>
      <family val="1"/>
    </font>
    <font>
      <sz val="11"/>
      <color indexed="8"/>
      <name val="Times New Roman"/>
      <family val="1"/>
    </font>
    <font>
      <vertAlign val="superscript"/>
      <sz val="11"/>
      <name val="Times New Roman"/>
      <family val="1"/>
    </font>
    <font>
      <b/>
      <sz val="12"/>
      <name val="Times New Roman"/>
      <family val="1"/>
    </font>
    <font>
      <sz val="11"/>
      <color indexed="9"/>
      <name val="Times New Roman"/>
      <family val="1"/>
    </font>
    <font>
      <sz val="11"/>
      <color indexed="13"/>
      <name val="Times New Roman"/>
      <family val="1"/>
    </font>
    <font>
      <sz val="11"/>
      <color indexed="50"/>
      <name val="Times New Roman"/>
      <family val="1"/>
    </font>
    <font>
      <sz val="12"/>
      <name val="Arial"/>
      <family val="2"/>
    </font>
    <font>
      <sz val="12"/>
      <name val="Times New Roman"/>
      <family val="1"/>
    </font>
    <font>
      <sz val="10"/>
      <name val="Arial"/>
      <family val="2"/>
    </font>
    <font>
      <sz val="10"/>
      <name val="Arial"/>
      <family val="2"/>
    </font>
    <font>
      <sz val="12"/>
      <name val="Tms Rmn"/>
    </font>
    <font>
      <sz val="10"/>
      <name val="Helv"/>
    </font>
    <font>
      <sz val="8"/>
      <name val="Arial"/>
      <family val="2"/>
    </font>
    <font>
      <b/>
      <sz val="12"/>
      <name val="Arial"/>
      <family val="2"/>
    </font>
    <font>
      <sz val="7"/>
      <name val="Small Fonts"/>
      <family val="2"/>
    </font>
    <font>
      <b/>
      <i/>
      <sz val="16"/>
      <name val="Helv"/>
    </font>
    <font>
      <u/>
      <sz val="11"/>
      <name val="Times New Roman"/>
      <family val="1"/>
    </font>
    <font>
      <sz val="11"/>
      <name val="Arial"/>
      <family val="2"/>
    </font>
    <font>
      <sz val="11"/>
      <color theme="1"/>
      <name val="Calibri"/>
      <family val="2"/>
      <scheme val="minor"/>
    </font>
    <font>
      <sz val="11"/>
      <color theme="1"/>
      <name val="Times New Roman"/>
      <family val="1"/>
    </font>
    <font>
      <b/>
      <sz val="11"/>
      <color theme="1"/>
      <name val="Times New Roman"/>
      <family val="1"/>
    </font>
    <font>
      <b/>
      <sz val="11"/>
      <name val="Arial"/>
      <family val="2"/>
    </font>
    <font>
      <sz val="11"/>
      <color indexed="8"/>
      <name val="Calibri"/>
      <family val="2"/>
    </font>
    <font>
      <sz val="11"/>
      <color theme="1"/>
      <name val="Calibri"/>
      <family val="2"/>
    </font>
    <font>
      <sz val="11"/>
      <color indexed="10"/>
      <name val="Times New Roman"/>
      <family val="1"/>
    </font>
    <font>
      <b/>
      <sz val="11"/>
      <color indexed="9"/>
      <name val="Times New Roman"/>
      <family val="1"/>
    </font>
    <font>
      <b/>
      <sz val="11"/>
      <color rgb="FFFF0000"/>
      <name val="Times New Roman"/>
      <family val="1"/>
    </font>
    <font>
      <sz val="11"/>
      <color indexed="40"/>
      <name val="Times New Roman"/>
      <family val="1"/>
    </font>
    <font>
      <b/>
      <u/>
      <sz val="11"/>
      <name val="Times New Roman"/>
      <family val="1"/>
    </font>
    <font>
      <b/>
      <sz val="10"/>
      <name val="Times New Roman"/>
      <family val="1"/>
    </font>
    <font>
      <sz val="11"/>
      <color rgb="FFFF0000"/>
      <name val="Times New Roman"/>
      <family val="1"/>
    </font>
    <font>
      <sz val="11"/>
      <color rgb="FF000000"/>
      <name val="Times New Roman"/>
      <family val="1"/>
    </font>
    <font>
      <b/>
      <sz val="11"/>
      <color rgb="FF000000"/>
      <name val="Times New Roman"/>
      <family val="1"/>
    </font>
    <font>
      <sz val="10"/>
      <name val="Arial"/>
      <family val="2"/>
    </font>
    <font>
      <u/>
      <sz val="10"/>
      <color theme="10"/>
      <name val="Arial"/>
      <family val="2"/>
    </font>
    <font>
      <sz val="10"/>
      <color rgb="FF000000"/>
      <name val="Calibri"/>
      <family val="2"/>
      <scheme val="minor"/>
    </font>
    <font>
      <sz val="9"/>
      <color indexed="81"/>
      <name val="Tahoma"/>
      <family val="2"/>
    </font>
    <font>
      <sz val="11"/>
      <color theme="1"/>
      <name val="Cambria"/>
      <family val="1"/>
    </font>
    <font>
      <u/>
      <sz val="11"/>
      <color theme="10"/>
      <name val="Calibri"/>
      <family val="2"/>
      <scheme val="minor"/>
    </font>
    <font>
      <sz val="10"/>
      <color theme="1"/>
      <name val="Times New Roman"/>
      <family val="1"/>
    </font>
    <font>
      <b/>
      <sz val="10"/>
      <color theme="1"/>
      <name val="Times New Roman"/>
      <family val="1"/>
    </font>
    <font>
      <b/>
      <sz val="12"/>
      <color theme="1"/>
      <name val="Times New Roman"/>
      <family val="1"/>
    </font>
    <font>
      <b/>
      <sz val="10"/>
      <color rgb="FF000000"/>
      <name val="Times New Roman"/>
      <family val="1"/>
    </font>
    <font>
      <sz val="10"/>
      <color rgb="FF000000"/>
      <name val="Times New Roman"/>
      <family val="1"/>
    </font>
    <font>
      <b/>
      <u/>
      <sz val="10"/>
      <name val="Times New Roman"/>
      <family val="1"/>
    </font>
    <font>
      <i/>
      <sz val="10"/>
      <name val="Times New Roman"/>
      <family val="1"/>
    </font>
    <font>
      <u/>
      <sz val="10"/>
      <color theme="10"/>
      <name val="Times New Roman"/>
      <family val="1"/>
    </font>
    <font>
      <b/>
      <sz val="40"/>
      <name val="Times New Roman"/>
      <family val="1"/>
    </font>
    <font>
      <i/>
      <sz val="11"/>
      <name val="Cambria"/>
      <family val="1"/>
    </font>
    <font>
      <sz val="10"/>
      <color theme="1"/>
      <name val="Cambria"/>
      <family val="1"/>
    </font>
    <font>
      <i/>
      <sz val="11"/>
      <name val="Times New Roman"/>
      <family val="1"/>
    </font>
    <font>
      <i/>
      <sz val="11"/>
      <color theme="1"/>
      <name val="Times New Roman"/>
      <family val="1"/>
    </font>
    <font>
      <b/>
      <sz val="22"/>
      <name val="Times New Roman"/>
      <family val="1"/>
    </font>
    <font>
      <b/>
      <sz val="72"/>
      <name val="Times New Roman"/>
      <family val="1"/>
    </font>
  </fonts>
  <fills count="26">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1"/>
        <bgColor indexed="64"/>
      </patternFill>
    </fill>
    <fill>
      <patternFill patternType="solid">
        <fgColor indexed="44"/>
        <bgColor indexed="64"/>
      </patternFill>
    </fill>
    <fill>
      <patternFill patternType="solid">
        <fgColor theme="0"/>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rgb="FFFFC000"/>
        <bgColor indexed="64"/>
      </patternFill>
    </fill>
    <fill>
      <patternFill patternType="solid">
        <fgColor theme="9" tint="0.59999389629810485"/>
        <bgColor indexed="64"/>
      </patternFill>
    </fill>
    <fill>
      <patternFill patternType="solid">
        <fgColor rgb="FFFFFF99"/>
        <bgColor indexed="64"/>
      </patternFill>
    </fill>
    <fill>
      <patternFill patternType="solid">
        <fgColor theme="1" tint="0.34998626667073579"/>
        <bgColor indexed="64"/>
      </patternFill>
    </fill>
    <fill>
      <patternFill patternType="solid">
        <fgColor rgb="FFFFFFFF"/>
        <bgColor rgb="FF000000"/>
      </patternFill>
    </fill>
    <fill>
      <patternFill patternType="solid">
        <fgColor rgb="FFFFCC99"/>
        <bgColor rgb="FF000000"/>
      </patternFill>
    </fill>
    <fill>
      <patternFill patternType="solid">
        <fgColor rgb="FFFCD5B4"/>
        <bgColor rgb="FF000000"/>
      </patternFill>
    </fill>
    <fill>
      <patternFill patternType="solid">
        <fgColor rgb="FFFFFF99"/>
        <bgColor rgb="FF000000"/>
      </patternFill>
    </fill>
    <fill>
      <patternFill patternType="solid">
        <fgColor rgb="FF808080"/>
        <bgColor rgb="FF000000"/>
      </patternFill>
    </fill>
    <fill>
      <patternFill patternType="solid">
        <fgColor rgb="FFFFFF00"/>
        <bgColor indexed="64"/>
      </patternFill>
    </fill>
    <fill>
      <patternFill patternType="solid">
        <fgColor theme="0" tint="-0.249977111117893"/>
        <bgColor indexed="64"/>
      </patternFill>
    </fill>
    <fill>
      <patternFill patternType="solid">
        <fgColor rgb="FFFFCC99"/>
        <bgColor rgb="FFFFCC99"/>
      </patternFill>
    </fill>
    <fill>
      <patternFill patternType="solid">
        <fgColor rgb="FFC2D69B"/>
        <bgColor rgb="FFC2D69B"/>
      </patternFill>
    </fill>
  </fills>
  <borders count="38">
    <border>
      <left/>
      <right/>
      <top/>
      <bottom/>
      <diagonal/>
    </border>
    <border>
      <left/>
      <right style="thin">
        <color indexed="8"/>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style="thin">
        <color indexed="64"/>
      </right>
      <top style="thin">
        <color rgb="FF000000"/>
      </top>
      <bottom/>
      <diagonal/>
    </border>
    <border>
      <left style="thin">
        <color rgb="FF000000"/>
      </left>
      <right/>
      <top style="thin">
        <color rgb="FF000000"/>
      </top>
      <bottom style="thin">
        <color indexed="64"/>
      </bottom>
      <diagonal/>
    </border>
    <border>
      <left/>
      <right style="thin">
        <color indexed="64"/>
      </right>
      <top style="thin">
        <color rgb="FF000000"/>
      </top>
      <bottom style="thin">
        <color indexed="64"/>
      </bottom>
      <diagonal/>
    </border>
    <border>
      <left style="thin">
        <color rgb="FF000000"/>
      </left>
      <right/>
      <top/>
      <bottom/>
      <diagonal/>
    </border>
  </borders>
  <cellStyleXfs count="95">
    <xf numFmtId="0" fontId="0" fillId="0" borderId="0"/>
    <xf numFmtId="0" fontId="22" fillId="0" borderId="0" applyNumberFormat="0" applyFill="0" applyBorder="0" applyAlignment="0" applyProtection="0"/>
    <xf numFmtId="0" fontId="23" fillId="0" borderId="1"/>
    <xf numFmtId="0" fontId="23" fillId="0" borderId="1"/>
    <xf numFmtId="38" fontId="24" fillId="2" borderId="0" applyNumberFormat="0" applyBorder="0" applyAlignment="0" applyProtection="0"/>
    <xf numFmtId="0" fontId="25" fillId="0" borderId="2" applyNumberFormat="0" applyAlignment="0" applyProtection="0">
      <alignment horizontal="left" vertical="center"/>
    </xf>
    <xf numFmtId="0" fontId="25" fillId="0" borderId="3">
      <alignment horizontal="left" vertical="center"/>
    </xf>
    <xf numFmtId="10" fontId="24" fillId="3" borderId="4" applyNumberFormat="0" applyBorder="0" applyAlignment="0" applyProtection="0"/>
    <xf numFmtId="37" fontId="26" fillId="0" borderId="0"/>
    <xf numFmtId="166" fontId="27" fillId="0" borderId="0"/>
    <xf numFmtId="0" fontId="20" fillId="0" borderId="0"/>
    <xf numFmtId="0" fontId="20" fillId="0" borderId="0"/>
    <xf numFmtId="0" fontId="10" fillId="0" borderId="0"/>
    <xf numFmtId="0" fontId="10" fillId="0" borderId="0"/>
    <xf numFmtId="0" fontId="7" fillId="0" borderId="0">
      <alignment vertical="center"/>
    </xf>
    <xf numFmtId="0" fontId="20" fillId="0" borderId="0">
      <alignment vertical="center"/>
    </xf>
    <xf numFmtId="0" fontId="21" fillId="0" borderId="0">
      <alignment vertical="center"/>
    </xf>
    <xf numFmtId="0" fontId="20" fillId="0" borderId="0">
      <alignment vertical="center"/>
    </xf>
    <xf numFmtId="167" fontId="20" fillId="0" borderId="0" applyFont="0" applyFill="0" applyBorder="0" applyAlignment="0" applyProtection="0"/>
    <xf numFmtId="10" fontId="20" fillId="0" borderId="0" applyFont="0" applyFill="0" applyBorder="0" applyAlignment="0" applyProtection="0"/>
    <xf numFmtId="0" fontId="20" fillId="0" borderId="0"/>
    <xf numFmtId="0" fontId="7" fillId="0" borderId="0" applyBorder="0" applyProtection="0"/>
    <xf numFmtId="0" fontId="30" fillId="0" borderId="0"/>
    <xf numFmtId="164" fontId="30" fillId="0" borderId="0" applyFont="0" applyFill="0" applyBorder="0" applyAlignment="0" applyProtection="0"/>
    <xf numFmtId="9" fontId="30" fillId="0" borderId="0" applyFont="0" applyFill="0" applyBorder="0" applyAlignment="0" applyProtection="0"/>
    <xf numFmtId="0" fontId="7" fillId="0" borderId="0"/>
    <xf numFmtId="0" fontId="7" fillId="0" borderId="0"/>
    <xf numFmtId="0" fontId="7" fillId="0" borderId="0">
      <alignment vertical="center"/>
    </xf>
    <xf numFmtId="167" fontId="7" fillId="0" borderId="0" applyFont="0" applyFill="0" applyBorder="0" applyAlignment="0" applyProtection="0"/>
    <xf numFmtId="0" fontId="18" fillId="0" borderId="0"/>
    <xf numFmtId="9" fontId="7" fillId="0" borderId="0" applyFont="0" applyFill="0" applyBorder="0" applyAlignment="0" applyProtection="0"/>
    <xf numFmtId="0" fontId="7" fillId="0" borderId="0"/>
    <xf numFmtId="167" fontId="7" fillId="0" borderId="0" applyFont="0" applyFill="0" applyBorder="0" applyAlignment="0" applyProtection="0"/>
    <xf numFmtId="167" fontId="34"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164" fontId="7" fillId="0" borderId="0" applyFont="0" applyFill="0" applyBorder="0" applyAlignment="0" applyProtection="0"/>
    <xf numFmtId="43" fontId="34" fillId="0" borderId="0" applyFont="0" applyFill="0" applyBorder="0" applyAlignment="0" applyProtection="0"/>
    <xf numFmtId="165" fontId="34" fillId="0" borderId="0" applyFont="0" applyFill="0" applyBorder="0" applyAlignment="0" applyProtection="0"/>
    <xf numFmtId="0" fontId="7" fillId="0" borderId="0"/>
    <xf numFmtId="0" fontId="7" fillId="0" borderId="0"/>
    <xf numFmtId="0" fontId="7" fillId="0" borderId="0"/>
    <xf numFmtId="0" fontId="35" fillId="0" borderId="0"/>
    <xf numFmtId="0" fontId="6" fillId="0" borderId="0"/>
    <xf numFmtId="0" fontId="34" fillId="0" borderId="0"/>
    <xf numFmtId="0" fontId="34" fillId="0" borderId="0"/>
    <xf numFmtId="0" fontId="6" fillId="0" borderId="0"/>
    <xf numFmtId="0" fontId="7" fillId="0" borderId="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4" fillId="0" borderId="0" applyFont="0" applyFill="0" applyBorder="0" applyAlignment="0" applyProtection="0"/>
    <xf numFmtId="9" fontId="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7" fillId="0" borderId="0" applyFont="0" applyFill="0" applyBorder="0" applyAlignment="0" applyProtection="0"/>
    <xf numFmtId="9" fontId="34"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0" fontId="7" fillId="0" borderId="0"/>
    <xf numFmtId="0" fontId="10" fillId="0" borderId="0"/>
    <xf numFmtId="0" fontId="7" fillId="0" borderId="0"/>
    <xf numFmtId="0" fontId="7" fillId="0" borderId="0"/>
    <xf numFmtId="167" fontId="34" fillId="0" borderId="0" applyFont="0" applyFill="0" applyBorder="0" applyAlignment="0" applyProtection="0"/>
    <xf numFmtId="0" fontId="7" fillId="0" borderId="0"/>
    <xf numFmtId="9" fontId="7" fillId="0" borderId="0" applyFont="0" applyFill="0" applyBorder="0" applyAlignment="0" applyProtection="0"/>
    <xf numFmtId="0" fontId="5" fillId="0" borderId="0"/>
    <xf numFmtId="164" fontId="5" fillId="0" borderId="0" applyFont="0" applyFill="0" applyBorder="0" applyAlignment="0" applyProtection="0"/>
    <xf numFmtId="165" fontId="7"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0" fontId="4" fillId="0" borderId="0"/>
    <xf numFmtId="0" fontId="7" fillId="0" borderId="0">
      <alignment vertical="center"/>
    </xf>
    <xf numFmtId="164" fontId="4" fillId="0" borderId="0" applyFont="0" applyFill="0" applyBorder="0" applyAlignment="0" applyProtection="0"/>
    <xf numFmtId="43" fontId="45" fillId="0" borderId="0" applyFont="0" applyFill="0" applyBorder="0" applyAlignment="0" applyProtection="0"/>
    <xf numFmtId="9" fontId="45" fillId="0" borderId="0" applyFont="0" applyFill="0" applyBorder="0" applyAlignment="0" applyProtection="0"/>
    <xf numFmtId="43" fontId="7" fillId="0" borderId="0" applyFont="0" applyFill="0" applyBorder="0" applyAlignment="0" applyProtection="0"/>
    <xf numFmtId="0" fontId="7" fillId="0" borderId="0"/>
    <xf numFmtId="0" fontId="3" fillId="0" borderId="0"/>
    <xf numFmtId="43" fontId="3" fillId="0" borderId="0" applyFont="0" applyFill="0" applyBorder="0" applyAlignment="0" applyProtection="0"/>
    <xf numFmtId="0" fontId="46" fillId="0" borderId="0" applyNumberFormat="0" applyFill="0" applyBorder="0" applyAlignment="0" applyProtection="0"/>
    <xf numFmtId="0" fontId="3" fillId="0" borderId="0"/>
    <xf numFmtId="164" fontId="3" fillId="0" borderId="0" applyFont="0" applyFill="0" applyBorder="0" applyAlignment="0" applyProtection="0"/>
    <xf numFmtId="0" fontId="47" fillId="0" borderId="0"/>
    <xf numFmtId="0" fontId="2" fillId="0" borderId="0"/>
    <xf numFmtId="0" fontId="50" fillId="0" borderId="0" applyNumberFormat="0" applyFill="0" applyBorder="0" applyAlignment="0" applyProtection="0"/>
    <xf numFmtId="0" fontId="2" fillId="0" borderId="0"/>
    <xf numFmtId="43" fontId="2" fillId="0" borderId="0" applyFont="0" applyFill="0" applyBorder="0" applyAlignment="0" applyProtection="0"/>
    <xf numFmtId="43" fontId="7"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44" fontId="1" fillId="0" borderId="0" applyFont="0" applyFill="0" applyBorder="0" applyAlignment="0" applyProtection="0"/>
    <xf numFmtId="0" fontId="1" fillId="0" borderId="0"/>
  </cellStyleXfs>
  <cellXfs count="1206">
    <xf numFmtId="0" fontId="0" fillId="0" borderId="0" xfId="0"/>
    <xf numFmtId="0" fontId="8" fillId="0" borderId="0" xfId="0" applyFont="1"/>
    <xf numFmtId="0" fontId="9" fillId="0" borderId="0" xfId="0" applyFont="1" applyAlignment="1">
      <alignment horizontal="centerContinuous"/>
    </xf>
    <xf numFmtId="0" fontId="8" fillId="0" borderId="0" xfId="14" applyFont="1">
      <alignment vertical="center"/>
    </xf>
    <xf numFmtId="0" fontId="8" fillId="0" borderId="4" xfId="14" applyFont="1" applyBorder="1">
      <alignment vertical="center"/>
    </xf>
    <xf numFmtId="0" fontId="9" fillId="0" borderId="0" xfId="14" applyFont="1" applyAlignment="1">
      <alignment horizontal="right" vertical="center"/>
    </xf>
    <xf numFmtId="0" fontId="9" fillId="0" borderId="0" xfId="0" applyFont="1" applyAlignment="1">
      <alignment horizontal="left"/>
    </xf>
    <xf numFmtId="0" fontId="9" fillId="0" borderId="0" xfId="0" applyFont="1" applyAlignment="1">
      <alignment horizontal="right"/>
    </xf>
    <xf numFmtId="0" fontId="9" fillId="0" borderId="0" xfId="0" applyFont="1"/>
    <xf numFmtId="0" fontId="8" fillId="0" borderId="0" xfId="0" applyFont="1" applyAlignment="1">
      <alignment vertical="top"/>
    </xf>
    <xf numFmtId="0" fontId="8" fillId="0" borderId="4" xfId="0" applyFont="1" applyBorder="1" applyAlignment="1">
      <alignment vertical="top"/>
    </xf>
    <xf numFmtId="0" fontId="8" fillId="0" borderId="4" xfId="0" applyFont="1" applyBorder="1"/>
    <xf numFmtId="0" fontId="9" fillId="0" borderId="4" xfId="0" applyFont="1" applyBorder="1" applyAlignment="1">
      <alignment vertical="top"/>
    </xf>
    <xf numFmtId="0" fontId="8" fillId="0" borderId="4" xfId="0" applyFont="1" applyBorder="1" applyAlignment="1">
      <alignment horizontal="left" vertical="top" wrapText="1"/>
    </xf>
    <xf numFmtId="0" fontId="9" fillId="0" borderId="0" xfId="14" applyFont="1">
      <alignment vertical="center"/>
    </xf>
    <xf numFmtId="0" fontId="19" fillId="0" borderId="0" xfId="14" applyFont="1">
      <alignment vertical="center"/>
    </xf>
    <xf numFmtId="0" fontId="14" fillId="0" borderId="0" xfId="14" applyFont="1" applyAlignment="1">
      <alignment horizontal="right" vertical="center"/>
    </xf>
    <xf numFmtId="0" fontId="8" fillId="8" borderId="4" xfId="0" applyFont="1" applyFill="1" applyBorder="1" applyAlignment="1">
      <alignment horizontal="left"/>
    </xf>
    <xf numFmtId="0" fontId="8" fillId="0" borderId="4" xfId="0" applyFont="1" applyBorder="1" applyAlignment="1">
      <alignment horizontal="center"/>
    </xf>
    <xf numFmtId="0" fontId="8" fillId="0" borderId="0" xfId="15" applyFont="1">
      <alignment vertical="center"/>
    </xf>
    <xf numFmtId="0" fontId="8" fillId="0" borderId="0" xfId="15" applyFont="1" applyAlignment="1">
      <alignment horizontal="centerContinuous" vertical="center"/>
    </xf>
    <xf numFmtId="0" fontId="8" fillId="0" borderId="0" xfId="10" applyFont="1"/>
    <xf numFmtId="0" fontId="8" fillId="0" borderId="0" xfId="10" applyFont="1" applyAlignment="1">
      <alignment horizontal="centerContinuous"/>
    </xf>
    <xf numFmtId="0" fontId="9" fillId="0" borderId="0" xfId="10" applyFont="1" applyAlignment="1">
      <alignment horizontal="centerContinuous"/>
    </xf>
    <xf numFmtId="0" fontId="9" fillId="0" borderId="0" xfId="15" applyFont="1" applyAlignment="1">
      <alignment horizontal="right" vertical="center"/>
    </xf>
    <xf numFmtId="0" fontId="9" fillId="0" borderId="0" xfId="15" applyFont="1">
      <alignment vertical="center"/>
    </xf>
    <xf numFmtId="0" fontId="8" fillId="0" borderId="4" xfId="15" applyFont="1" applyBorder="1">
      <alignment vertical="center"/>
    </xf>
    <xf numFmtId="0" fontId="8" fillId="8" borderId="0" xfId="15" applyFont="1" applyFill="1">
      <alignment vertical="center"/>
    </xf>
    <xf numFmtId="0" fontId="8" fillId="5" borderId="4" xfId="10" applyFont="1" applyFill="1" applyBorder="1" applyAlignment="1">
      <alignment horizontal="left"/>
    </xf>
    <xf numFmtId="0" fontId="9" fillId="5" borderId="4" xfId="10" applyFont="1" applyFill="1" applyBorder="1" applyAlignment="1">
      <alignment horizontal="left"/>
    </xf>
    <xf numFmtId="0" fontId="9" fillId="0" borderId="4" xfId="15" applyFont="1" applyBorder="1">
      <alignment vertical="center"/>
    </xf>
    <xf numFmtId="0" fontId="8" fillId="0" borderId="4" xfId="10" applyFont="1" applyBorder="1"/>
    <xf numFmtId="0" fontId="8" fillId="5" borderId="4" xfId="10" quotePrefix="1" applyFont="1" applyFill="1" applyBorder="1" applyAlignment="1">
      <alignment horizontal="left" vertical="top" wrapText="1"/>
    </xf>
    <xf numFmtId="0" fontId="9" fillId="0" borderId="0" xfId="11" applyFont="1" applyAlignment="1">
      <alignment horizontal="left"/>
    </xf>
    <xf numFmtId="0" fontId="8" fillId="0" borderId="0" xfId="11" applyFont="1"/>
    <xf numFmtId="0" fontId="9" fillId="0" borderId="0" xfId="11" applyFont="1" applyAlignment="1">
      <alignment horizontal="centerContinuous"/>
    </xf>
    <xf numFmtId="0" fontId="8" fillId="0" borderId="0" xfId="11" applyFont="1" applyAlignment="1">
      <alignment horizontal="centerContinuous"/>
    </xf>
    <xf numFmtId="0" fontId="8" fillId="0" borderId="0" xfId="11" applyFont="1" applyAlignment="1">
      <alignment horizontal="center"/>
    </xf>
    <xf numFmtId="0" fontId="9" fillId="0" borderId="0" xfId="11" applyFont="1" applyAlignment="1">
      <alignment horizontal="right"/>
    </xf>
    <xf numFmtId="0" fontId="9" fillId="0" borderId="0" xfId="11" applyFont="1"/>
    <xf numFmtId="0" fontId="8" fillId="0" borderId="4" xfId="11" applyFont="1" applyBorder="1"/>
    <xf numFmtId="0" fontId="8" fillId="0" borderId="0" xfId="11" applyFont="1" applyAlignment="1">
      <alignment horizontal="center" vertical="center"/>
    </xf>
    <xf numFmtId="0" fontId="9" fillId="0" borderId="0" xfId="11" applyFont="1" applyAlignment="1">
      <alignment horizontal="left" vertical="center" wrapText="1"/>
    </xf>
    <xf numFmtId="0" fontId="19" fillId="0" borderId="0" xfId="0" applyFont="1"/>
    <xf numFmtId="0" fontId="19" fillId="0" borderId="4" xfId="17" applyFont="1" applyBorder="1" applyAlignment="1">
      <alignment horizontal="center" vertical="center"/>
    </xf>
    <xf numFmtId="0" fontId="8" fillId="0" borderId="4" xfId="10" applyFont="1" applyBorder="1" applyAlignment="1">
      <alignment horizontal="left"/>
    </xf>
    <xf numFmtId="0" fontId="8" fillId="0" borderId="4" xfId="15" applyFont="1" applyBorder="1" applyAlignment="1">
      <alignment horizontal="center" vertical="center"/>
    </xf>
    <xf numFmtId="0" fontId="9" fillId="8" borderId="4" xfId="10" applyFont="1" applyFill="1" applyBorder="1" applyAlignment="1">
      <alignment horizontal="left"/>
    </xf>
    <xf numFmtId="0" fontId="8" fillId="8" borderId="4" xfId="10" applyFont="1" applyFill="1" applyBorder="1" applyAlignment="1">
      <alignment horizontal="left"/>
    </xf>
    <xf numFmtId="0" fontId="10" fillId="0" borderId="4" xfId="10" applyFont="1" applyBorder="1" applyAlignment="1">
      <alignment vertical="top" wrapText="1"/>
    </xf>
    <xf numFmtId="0" fontId="9" fillId="9" borderId="4" xfId="12" applyFont="1" applyFill="1" applyBorder="1" applyAlignment="1">
      <alignment horizontal="center" vertical="center"/>
    </xf>
    <xf numFmtId="0" fontId="9" fillId="5" borderId="0" xfId="10" applyFont="1" applyFill="1" applyAlignment="1">
      <alignment horizontal="left"/>
    </xf>
    <xf numFmtId="0" fontId="9" fillId="0" borderId="0" xfId="10" applyFont="1" applyAlignment="1">
      <alignment horizontal="center"/>
    </xf>
    <xf numFmtId="0" fontId="9" fillId="0" borderId="4" xfId="10" applyFont="1" applyBorder="1"/>
    <xf numFmtId="0" fontId="17" fillId="0" borderId="0" xfId="10" applyFont="1"/>
    <xf numFmtId="0" fontId="8" fillId="10" borderId="4" xfId="10" applyFont="1" applyFill="1" applyBorder="1"/>
    <xf numFmtId="0" fontId="8" fillId="5" borderId="0" xfId="10" applyFont="1" applyFill="1"/>
    <xf numFmtId="0" fontId="9" fillId="0" borderId="0" xfId="10" applyFont="1"/>
    <xf numFmtId="0" fontId="15" fillId="5" borderId="0" xfId="10" applyFont="1" applyFill="1"/>
    <xf numFmtId="0" fontId="9" fillId="0" borderId="7" xfId="15" applyFont="1" applyBorder="1" applyAlignment="1">
      <alignment horizontal="center" vertical="center" wrapText="1"/>
    </xf>
    <xf numFmtId="0" fontId="8" fillId="0" borderId="7" xfId="15" applyFont="1" applyBorder="1">
      <alignment vertical="center"/>
    </xf>
    <xf numFmtId="0" fontId="8" fillId="0" borderId="7" xfId="11" applyFont="1" applyBorder="1"/>
    <xf numFmtId="0" fontId="9" fillId="0" borderId="7" xfId="11" applyFont="1" applyBorder="1" applyAlignment="1">
      <alignment horizontal="right"/>
    </xf>
    <xf numFmtId="0" fontId="9" fillId="0" borderId="7" xfId="15" applyFont="1" applyBorder="1" applyAlignment="1">
      <alignment vertical="center" wrapText="1"/>
    </xf>
    <xf numFmtId="0" fontId="9" fillId="6" borderId="7" xfId="15" applyFont="1" applyFill="1" applyBorder="1">
      <alignment vertical="center"/>
    </xf>
    <xf numFmtId="0" fontId="9" fillId="8" borderId="7" xfId="15" applyFont="1" applyFill="1" applyBorder="1">
      <alignment vertical="center"/>
    </xf>
    <xf numFmtId="0" fontId="8" fillId="6" borderId="7" xfId="15" applyFont="1" applyFill="1" applyBorder="1">
      <alignment vertical="center"/>
    </xf>
    <xf numFmtId="0" fontId="8" fillId="7" borderId="11" xfId="11" applyFont="1" applyFill="1" applyBorder="1"/>
    <xf numFmtId="0" fontId="8" fillId="8" borderId="0" xfId="10" applyFont="1" applyFill="1" applyAlignment="1">
      <alignment horizontal="left"/>
    </xf>
    <xf numFmtId="0" fontId="8" fillId="8" borderId="0" xfId="10" applyFont="1" applyFill="1" applyAlignment="1">
      <alignment horizontal="centerContinuous"/>
    </xf>
    <xf numFmtId="0" fontId="9" fillId="0" borderId="0" xfId="0" applyFont="1" applyAlignment="1">
      <alignment horizontal="center" vertical="center"/>
    </xf>
    <xf numFmtId="0" fontId="9" fillId="0" borderId="0" xfId="10" applyFont="1" applyAlignment="1">
      <alignment horizontal="left"/>
    </xf>
    <xf numFmtId="0" fontId="8" fillId="0" borderId="0" xfId="10" applyFont="1" applyAlignment="1">
      <alignment vertical="top"/>
    </xf>
    <xf numFmtId="0" fontId="8" fillId="0" borderId="0" xfId="0" applyFont="1" applyAlignment="1">
      <alignment horizontal="center" vertical="center"/>
    </xf>
    <xf numFmtId="0" fontId="9" fillId="4" borderId="4" xfId="15" applyFont="1" applyFill="1" applyBorder="1" applyAlignment="1">
      <alignment horizontal="center" vertical="center" wrapText="1"/>
    </xf>
    <xf numFmtId="0" fontId="9" fillId="0" borderId="0" xfId="14" applyFont="1" applyAlignment="1">
      <alignment horizontal="center" vertical="center"/>
    </xf>
    <xf numFmtId="0" fontId="19" fillId="0" borderId="4" xfId="16" applyFont="1" applyBorder="1">
      <alignment vertical="center"/>
    </xf>
    <xf numFmtId="0" fontId="19" fillId="0" borderId="4" xfId="16" applyFont="1" applyBorder="1" applyAlignment="1">
      <alignment horizontal="center" vertical="center"/>
    </xf>
    <xf numFmtId="0" fontId="19" fillId="0" borderId="4" xfId="16" applyFont="1" applyBorder="1" applyAlignment="1">
      <alignment vertical="top" wrapText="1"/>
    </xf>
    <xf numFmtId="0" fontId="14" fillId="0" borderId="4" xfId="16" applyFont="1" applyBorder="1">
      <alignment vertical="center"/>
    </xf>
    <xf numFmtId="0" fontId="9" fillId="0" borderId="4" xfId="14" applyFont="1" applyBorder="1">
      <alignment vertical="center"/>
    </xf>
    <xf numFmtId="0" fontId="19" fillId="0" borderId="0" xfId="16" applyFont="1">
      <alignment vertical="center"/>
    </xf>
    <xf numFmtId="0" fontId="9" fillId="0" borderId="4" xfId="11" applyFont="1" applyBorder="1" applyAlignment="1">
      <alignment horizontal="center" vertical="center"/>
    </xf>
    <xf numFmtId="0" fontId="9" fillId="0" borderId="4" xfId="11" applyFont="1" applyBorder="1" applyAlignment="1">
      <alignment horizontal="left" vertical="center"/>
    </xf>
    <xf numFmtId="0" fontId="8" fillId="0" borderId="4" xfId="11" applyFont="1" applyBorder="1" applyAlignment="1">
      <alignment horizontal="center" vertical="center" wrapText="1"/>
    </xf>
    <xf numFmtId="0" fontId="8" fillId="0" borderId="4" xfId="11" quotePrefix="1" applyFont="1" applyBorder="1" applyAlignment="1">
      <alignment vertical="center" wrapText="1"/>
    </xf>
    <xf numFmtId="0" fontId="9" fillId="6" borderId="4" xfId="11" applyFont="1" applyFill="1" applyBorder="1" applyAlignment="1">
      <alignment horizontal="center" vertical="center" wrapText="1"/>
    </xf>
    <xf numFmtId="0" fontId="9" fillId="6" borderId="4" xfId="11" applyFont="1" applyFill="1" applyBorder="1" applyAlignment="1">
      <alignment vertical="center" wrapText="1"/>
    </xf>
    <xf numFmtId="0" fontId="9" fillId="8" borderId="4" xfId="11" applyFont="1" applyFill="1" applyBorder="1" applyAlignment="1">
      <alignment horizontal="center" vertical="center" wrapText="1"/>
    </xf>
    <xf numFmtId="0" fontId="9" fillId="8" borderId="4" xfId="11" applyFont="1" applyFill="1" applyBorder="1" applyAlignment="1">
      <alignment vertical="center" wrapText="1"/>
    </xf>
    <xf numFmtId="0" fontId="8" fillId="0" borderId="4" xfId="11" applyFont="1" applyBorder="1" applyAlignment="1">
      <alignment horizontal="right" vertical="center" wrapText="1"/>
    </xf>
    <xf numFmtId="0" fontId="9" fillId="7" borderId="4" xfId="11" applyFont="1" applyFill="1" applyBorder="1" applyAlignment="1">
      <alignment horizontal="center" vertical="center"/>
    </xf>
    <xf numFmtId="0" fontId="9" fillId="7" borderId="4" xfId="11" applyFont="1" applyFill="1" applyBorder="1" applyAlignment="1">
      <alignment horizontal="left" vertical="center" wrapText="1"/>
    </xf>
    <xf numFmtId="0" fontId="9" fillId="0" borderId="4" xfId="11" applyFont="1" applyBorder="1" applyAlignment="1">
      <alignment horizontal="right"/>
    </xf>
    <xf numFmtId="0" fontId="9" fillId="0" borderId="4" xfId="11" applyFont="1" applyBorder="1" applyAlignment="1">
      <alignment vertical="center" wrapText="1"/>
    </xf>
    <xf numFmtId="0" fontId="9" fillId="0" borderId="4" xfId="11" applyFont="1" applyBorder="1" applyAlignment="1">
      <alignment horizontal="center" vertical="center" wrapText="1"/>
    </xf>
    <xf numFmtId="0" fontId="9" fillId="0" borderId="4" xfId="11" applyFont="1" applyBorder="1" applyAlignment="1">
      <alignment horizontal="left" vertical="center" wrapText="1"/>
    </xf>
    <xf numFmtId="0" fontId="9" fillId="0" borderId="4" xfId="15" applyFont="1" applyBorder="1" applyAlignment="1">
      <alignment horizontal="center" vertical="center"/>
    </xf>
    <xf numFmtId="0" fontId="8" fillId="5" borderId="4" xfId="0" quotePrefix="1" applyFont="1" applyFill="1" applyBorder="1" applyAlignment="1">
      <alignment horizontal="left" vertical="top" wrapText="1"/>
    </xf>
    <xf numFmtId="0" fontId="8" fillId="5" borderId="4" xfId="0" applyFont="1" applyFill="1" applyBorder="1" applyAlignment="1">
      <alignment horizontal="left"/>
    </xf>
    <xf numFmtId="0" fontId="8" fillId="5" borderId="4" xfId="0" applyFont="1" applyFill="1" applyBorder="1" applyAlignment="1">
      <alignment horizontal="left" vertical="center"/>
    </xf>
    <xf numFmtId="0" fontId="9" fillId="5" borderId="4" xfId="0" applyFont="1" applyFill="1" applyBorder="1" applyAlignment="1">
      <alignment horizontal="left"/>
    </xf>
    <xf numFmtId="0" fontId="8" fillId="0" borderId="0" xfId="10" applyFont="1" applyAlignment="1">
      <alignment vertical="center"/>
    </xf>
    <xf numFmtId="0" fontId="9" fillId="0" borderId="4" xfId="10" applyFont="1" applyBorder="1" applyAlignment="1">
      <alignment horizontal="left"/>
    </xf>
    <xf numFmtId="0" fontId="28" fillId="0" borderId="4" xfId="10" applyFont="1" applyBorder="1"/>
    <xf numFmtId="0" fontId="16" fillId="10" borderId="4" xfId="10" applyFont="1" applyFill="1" applyBorder="1"/>
    <xf numFmtId="0" fontId="8" fillId="0" borderId="4" xfId="10" applyFont="1" applyBorder="1" applyAlignment="1">
      <alignment horizontal="center" vertical="top"/>
    </xf>
    <xf numFmtId="49" fontId="8" fillId="0" borderId="4" xfId="15" applyNumberFormat="1" applyFont="1" applyBorder="1" applyAlignment="1">
      <alignment horizontal="center" vertical="center"/>
    </xf>
    <xf numFmtId="0" fontId="9" fillId="5" borderId="0" xfId="10" applyFont="1" applyFill="1" applyAlignment="1">
      <alignment horizontal="center"/>
    </xf>
    <xf numFmtId="0" fontId="8" fillId="5" borderId="0" xfId="10" applyFont="1" applyFill="1" applyAlignment="1">
      <alignment horizontal="center"/>
    </xf>
    <xf numFmtId="0" fontId="19" fillId="8" borderId="4" xfId="14" applyFont="1" applyFill="1" applyBorder="1">
      <alignment vertical="center"/>
    </xf>
    <xf numFmtId="0" fontId="19" fillId="8" borderId="4" xfId="14" applyFont="1" applyFill="1" applyBorder="1" applyAlignment="1">
      <alignment vertical="top" wrapText="1"/>
    </xf>
    <xf numFmtId="0" fontId="8" fillId="0" borderId="0" xfId="14" applyFont="1" applyAlignment="1">
      <alignment horizontal="center" vertical="center"/>
    </xf>
    <xf numFmtId="0" fontId="19" fillId="0" borderId="0" xfId="14" applyFont="1" applyAlignment="1">
      <alignment horizontal="center" vertical="center"/>
    </xf>
    <xf numFmtId="0" fontId="19" fillId="0" borderId="4" xfId="14" applyFont="1" applyBorder="1" applyAlignment="1">
      <alignment horizontal="center" vertical="center"/>
    </xf>
    <xf numFmtId="0" fontId="9" fillId="10" borderId="4" xfId="10" applyFont="1" applyFill="1" applyBorder="1"/>
    <xf numFmtId="0" fontId="9" fillId="0" borderId="0" xfId="17" applyFont="1" applyAlignment="1">
      <alignment vertical="center" wrapText="1"/>
    </xf>
    <xf numFmtId="0" fontId="9" fillId="0" borderId="0" xfId="10" applyFont="1" applyAlignment="1">
      <alignment vertical="center" wrapText="1"/>
    </xf>
    <xf numFmtId="0" fontId="9" fillId="5" borderId="0" xfId="10" applyFont="1" applyFill="1" applyAlignment="1">
      <alignment vertical="center" wrapText="1"/>
    </xf>
    <xf numFmtId="0" fontId="8" fillId="0" borderId="0" xfId="10" applyFont="1" applyAlignment="1">
      <alignment horizontal="center"/>
    </xf>
    <xf numFmtId="0" fontId="9" fillId="5" borderId="0" xfId="10" applyFont="1" applyFill="1" applyAlignment="1">
      <alignment horizontal="center" vertical="center"/>
    </xf>
    <xf numFmtId="0" fontId="8" fillId="0" borderId="0" xfId="15" applyFont="1" applyAlignment="1">
      <alignment horizontal="center" vertical="center"/>
    </xf>
    <xf numFmtId="0" fontId="8" fillId="0" borderId="4" xfId="15" applyFont="1" applyBorder="1" applyAlignment="1">
      <alignment vertical="center" wrapText="1"/>
    </xf>
    <xf numFmtId="0" fontId="8" fillId="0" borderId="4" xfId="15" applyFont="1" applyBorder="1" applyAlignment="1">
      <alignment horizontal="center" vertical="center" wrapText="1"/>
    </xf>
    <xf numFmtId="0" fontId="8" fillId="0" borderId="4" xfId="0" applyFont="1" applyBorder="1" applyAlignment="1">
      <alignment horizontal="center" vertical="top"/>
    </xf>
    <xf numFmtId="0" fontId="9" fillId="0" borderId="4" xfId="0" applyFont="1" applyBorder="1"/>
    <xf numFmtId="0" fontId="9" fillId="6" borderId="4" xfId="15" applyFont="1" applyFill="1" applyBorder="1" applyAlignment="1">
      <alignment horizontal="center" vertical="center"/>
    </xf>
    <xf numFmtId="0" fontId="9" fillId="0" borderId="0" xfId="10" applyFont="1" applyAlignment="1">
      <alignment vertical="top"/>
    </xf>
    <xf numFmtId="0" fontId="8" fillId="0" borderId="4" xfId="17" applyFont="1" applyBorder="1" applyAlignment="1">
      <alignment horizontal="center" vertical="center"/>
    </xf>
    <xf numFmtId="0" fontId="8" fillId="0" borderId="4" xfId="17" applyFont="1" applyBorder="1">
      <alignment vertical="center"/>
    </xf>
    <xf numFmtId="0" fontId="8" fillId="0" borderId="4" xfId="17" applyFont="1" applyBorder="1" applyAlignment="1">
      <alignment vertical="top" wrapText="1"/>
    </xf>
    <xf numFmtId="0" fontId="9" fillId="0" borderId="4" xfId="17" applyFont="1" applyBorder="1" applyAlignment="1">
      <alignment horizontal="center" vertical="center"/>
    </xf>
    <xf numFmtId="0" fontId="9" fillId="0" borderId="4" xfId="17" applyFont="1" applyBorder="1">
      <alignment vertical="center"/>
    </xf>
    <xf numFmtId="0" fontId="9" fillId="0" borderId="4" xfId="17" applyFont="1" applyBorder="1" applyAlignment="1">
      <alignment vertical="center" wrapText="1"/>
    </xf>
    <xf numFmtId="0" fontId="9" fillId="0" borderId="4" xfId="15" applyFont="1" applyBorder="1" applyAlignment="1">
      <alignment horizontal="center" vertical="top" wrapText="1"/>
    </xf>
    <xf numFmtId="0" fontId="9" fillId="0" borderId="4" xfId="15" applyFont="1" applyBorder="1" applyAlignment="1">
      <alignment vertical="top" wrapText="1"/>
    </xf>
    <xf numFmtId="0" fontId="8" fillId="0" borderId="4" xfId="15" applyFont="1" applyBorder="1" applyAlignment="1">
      <alignment horizontal="center" vertical="top" wrapText="1"/>
    </xf>
    <xf numFmtId="0" fontId="8" fillId="0" borderId="4" xfId="15" applyFont="1" applyBorder="1" applyAlignment="1">
      <alignment vertical="top" wrapText="1"/>
    </xf>
    <xf numFmtId="0" fontId="9" fillId="0" borderId="0" xfId="15" applyFont="1" applyAlignment="1">
      <alignment horizontal="center" vertical="top" wrapText="1"/>
    </xf>
    <xf numFmtId="0" fontId="9" fillId="0" borderId="0" xfId="15" applyFont="1" applyAlignment="1">
      <alignment vertical="top" wrapText="1"/>
    </xf>
    <xf numFmtId="0" fontId="8" fillId="0" borderId="0" xfId="15" applyFont="1" applyAlignment="1">
      <alignment horizontal="left" vertical="center"/>
    </xf>
    <xf numFmtId="0" fontId="9" fillId="0" borderId="0" xfId="17" applyFont="1" applyAlignment="1">
      <alignment horizontal="center" vertical="center"/>
    </xf>
    <xf numFmtId="0" fontId="9" fillId="0" borderId="0" xfId="10" applyFont="1" applyAlignment="1">
      <alignment horizontal="center" vertical="top"/>
    </xf>
    <xf numFmtId="0" fontId="8" fillId="0" borderId="4" xfId="0" applyFont="1" applyBorder="1" applyAlignment="1">
      <alignment vertical="top" wrapText="1"/>
    </xf>
    <xf numFmtId="0" fontId="9" fillId="0" borderId="0" xfId="15" applyFont="1" applyAlignment="1">
      <alignment vertical="center" wrapText="1"/>
    </xf>
    <xf numFmtId="0" fontId="9" fillId="0" borderId="0" xfId="10" applyFont="1" applyAlignment="1">
      <alignment vertical="top" wrapText="1"/>
    </xf>
    <xf numFmtId="0" fontId="9" fillId="0" borderId="0" xfId="10" applyFont="1" applyAlignment="1">
      <alignment wrapText="1"/>
    </xf>
    <xf numFmtId="0" fontId="9" fillId="0" borderId="0" xfId="10" applyFont="1" applyAlignment="1">
      <alignment horizontal="center" wrapText="1"/>
    </xf>
    <xf numFmtId="0" fontId="8" fillId="0" borderId="0" xfId="15" applyFont="1" applyAlignment="1">
      <alignment vertical="center" wrapText="1"/>
    </xf>
    <xf numFmtId="0" fontId="8" fillId="0" borderId="4" xfId="0" applyFont="1" applyBorder="1" applyAlignment="1">
      <alignment horizontal="center" vertical="center"/>
    </xf>
    <xf numFmtId="0" fontId="9" fillId="0" borderId="0" xfId="11" applyFont="1" applyAlignment="1">
      <alignment wrapText="1"/>
    </xf>
    <xf numFmtId="0" fontId="8" fillId="0" borderId="4" xfId="11" applyFont="1" applyBorder="1" applyAlignment="1">
      <alignment vertical="center" wrapText="1"/>
    </xf>
    <xf numFmtId="0" fontId="8" fillId="0" borderId="4" xfId="10" applyFont="1" applyBorder="1" applyAlignment="1">
      <alignment vertical="top" wrapText="1"/>
    </xf>
    <xf numFmtId="0" fontId="9" fillId="0" borderId="4" xfId="10" applyFont="1" applyBorder="1" applyAlignment="1">
      <alignment horizontal="center" vertical="top"/>
    </xf>
    <xf numFmtId="0" fontId="9" fillId="0" borderId="4" xfId="10" applyFont="1" applyBorder="1" applyAlignment="1">
      <alignment vertical="top" wrapText="1"/>
    </xf>
    <xf numFmtId="0" fontId="8" fillId="4" borderId="4" xfId="10" applyFont="1" applyFill="1" applyBorder="1" applyAlignment="1">
      <alignment horizontal="center"/>
    </xf>
    <xf numFmtId="0" fontId="9" fillId="4" borderId="4" xfId="10" applyFont="1" applyFill="1" applyBorder="1"/>
    <xf numFmtId="0" fontId="8" fillId="0" borderId="0" xfId="0" applyFont="1" applyAlignment="1">
      <alignment vertical="center"/>
    </xf>
    <xf numFmtId="0" fontId="9" fillId="0" borderId="0" xfId="0" applyFont="1" applyAlignment="1">
      <alignment horizontal="right" vertical="center"/>
    </xf>
    <xf numFmtId="0" fontId="9" fillId="5" borderId="0" xfId="10" applyFont="1" applyFill="1" applyAlignment="1">
      <alignment vertical="center"/>
    </xf>
    <xf numFmtId="0" fontId="8" fillId="5" borderId="0" xfId="10" quotePrefix="1" applyFont="1" applyFill="1" applyAlignment="1">
      <alignment horizontal="left" vertical="top" wrapText="1"/>
    </xf>
    <xf numFmtId="0" fontId="8" fillId="5" borderId="4" xfId="15" applyFont="1" applyFill="1" applyBorder="1">
      <alignment vertical="center"/>
    </xf>
    <xf numFmtId="0" fontId="8" fillId="8" borderId="4" xfId="15" applyFont="1" applyFill="1" applyBorder="1">
      <alignment vertical="center"/>
    </xf>
    <xf numFmtId="0" fontId="9" fillId="5" borderId="4" xfId="10" applyFont="1" applyFill="1" applyBorder="1"/>
    <xf numFmtId="0" fontId="8" fillId="5" borderId="4" xfId="10" applyFont="1" applyFill="1" applyBorder="1"/>
    <xf numFmtId="0" fontId="8" fillId="5" borderId="4" xfId="10" applyFont="1" applyFill="1" applyBorder="1" applyAlignment="1">
      <alignment horizontal="center" vertical="center"/>
    </xf>
    <xf numFmtId="0" fontId="9" fillId="5" borderId="4" xfId="10" applyFont="1" applyFill="1" applyBorder="1" applyAlignment="1">
      <alignment vertical="top" wrapText="1"/>
    </xf>
    <xf numFmtId="166" fontId="8" fillId="0" borderId="0" xfId="10" applyNumberFormat="1" applyFont="1"/>
    <xf numFmtId="0" fontId="8" fillId="5" borderId="0" xfId="10" applyFont="1" applyFill="1" applyAlignment="1">
      <alignment vertical="center"/>
    </xf>
    <xf numFmtId="0" fontId="8" fillId="0" borderId="0" xfId="25" applyFont="1"/>
    <xf numFmtId="0" fontId="8" fillId="0" borderId="15" xfId="25" applyFont="1" applyBorder="1"/>
    <xf numFmtId="0" fontId="8" fillId="0" borderId="0" xfId="26" applyFont="1" applyAlignment="1">
      <alignment vertical="center"/>
    </xf>
    <xf numFmtId="0" fontId="9" fillId="0" borderId="0" xfId="27" applyFont="1" applyAlignment="1">
      <alignment horizontal="center" vertical="center"/>
    </xf>
    <xf numFmtId="0" fontId="8" fillId="0" borderId="0" xfId="26" applyFont="1" applyAlignment="1">
      <alignment vertical="center" wrapText="1"/>
    </xf>
    <xf numFmtId="0" fontId="8" fillId="0" borderId="16" xfId="25" applyFont="1" applyBorder="1"/>
    <xf numFmtId="0" fontId="9" fillId="4" borderId="4" xfId="25" applyFont="1" applyFill="1" applyBorder="1" applyAlignment="1">
      <alignment horizontal="justify" vertical="top" wrapText="1"/>
    </xf>
    <xf numFmtId="0" fontId="9" fillId="4" borderId="4" xfId="25" applyFont="1" applyFill="1" applyBorder="1" applyAlignment="1">
      <alignment vertical="top" wrapText="1"/>
    </xf>
    <xf numFmtId="0" fontId="8" fillId="0" borderId="0" xfId="25" applyFont="1" applyAlignment="1">
      <alignment vertical="top" wrapText="1"/>
    </xf>
    <xf numFmtId="0" fontId="8" fillId="0" borderId="4" xfId="26" applyFont="1" applyBorder="1" applyAlignment="1">
      <alignment horizontal="left" vertical="center" wrapText="1"/>
    </xf>
    <xf numFmtId="168" fontId="8" fillId="0" borderId="4" xfId="26" applyNumberFormat="1" applyFont="1" applyBorder="1" applyAlignment="1">
      <alignment horizontal="center" vertical="center" wrapText="1"/>
    </xf>
    <xf numFmtId="0" fontId="8" fillId="0" borderId="0" xfId="26" applyFont="1" applyAlignment="1">
      <alignment horizontal="left" vertical="center" wrapText="1"/>
    </xf>
    <xf numFmtId="0" fontId="8" fillId="0" borderId="0" xfId="26" applyFont="1" applyAlignment="1">
      <alignment horizontal="center" vertical="center" wrapText="1"/>
    </xf>
    <xf numFmtId="2" fontId="8" fillId="0" borderId="0" xfId="26" applyNumberFormat="1" applyFont="1" applyAlignment="1">
      <alignment horizontal="center" vertical="center" wrapText="1"/>
    </xf>
    <xf numFmtId="14" fontId="8" fillId="0" borderId="0" xfId="25" applyNumberFormat="1" applyFont="1"/>
    <xf numFmtId="14" fontId="8" fillId="0" borderId="0" xfId="26" applyNumberFormat="1" applyFont="1" applyAlignment="1">
      <alignment horizontal="center" vertical="center" wrapText="1"/>
    </xf>
    <xf numFmtId="2" fontId="8" fillId="0" borderId="0" xfId="25" applyNumberFormat="1" applyFont="1"/>
    <xf numFmtId="0" fontId="8" fillId="0" borderId="0" xfId="25" applyFont="1" applyAlignment="1">
      <alignment vertical="top"/>
    </xf>
    <xf numFmtId="0" fontId="8" fillId="0" borderId="0" xfId="26" applyFont="1"/>
    <xf numFmtId="0" fontId="8" fillId="0" borderId="0" xfId="26" applyFont="1" applyAlignment="1">
      <alignment horizontal="center" vertical="center"/>
    </xf>
    <xf numFmtId="0" fontId="8" fillId="0" borderId="0" xfId="25" applyFont="1" applyAlignment="1">
      <alignment horizontal="center"/>
    </xf>
    <xf numFmtId="0" fontId="8" fillId="0" borderId="0" xfId="25" applyFont="1" applyAlignment="1">
      <alignment horizontal="center" vertical="center"/>
    </xf>
    <xf numFmtId="0" fontId="8" fillId="0" borderId="0" xfId="25" applyFont="1" applyAlignment="1">
      <alignment horizontal="center" vertical="center" wrapText="1"/>
    </xf>
    <xf numFmtId="0" fontId="9" fillId="0" borderId="0" xfId="25" applyFont="1"/>
    <xf numFmtId="0" fontId="8" fillId="0" borderId="0" xfId="25" applyFont="1" applyAlignment="1">
      <alignment vertical="center"/>
    </xf>
    <xf numFmtId="0" fontId="8" fillId="0" borderId="0" xfId="25" applyFont="1" applyAlignment="1">
      <alignment vertical="center" wrapText="1"/>
    </xf>
    <xf numFmtId="0" fontId="8" fillId="0" borderId="0" xfId="25" applyFont="1" applyAlignment="1">
      <alignment wrapText="1"/>
    </xf>
    <xf numFmtId="0" fontId="8" fillId="0" borderId="15" xfId="26" applyFont="1" applyBorder="1"/>
    <xf numFmtId="0" fontId="9" fillId="4" borderId="4" xfId="26" applyFont="1" applyFill="1" applyBorder="1" applyAlignment="1">
      <alignment horizontal="center"/>
    </xf>
    <xf numFmtId="0" fontId="9" fillId="0" borderId="4" xfId="26" quotePrefix="1" applyFont="1" applyBorder="1" applyAlignment="1">
      <alignment horizontal="center"/>
    </xf>
    <xf numFmtId="0" fontId="8" fillId="0" borderId="4" xfId="26" applyFont="1" applyBorder="1" applyAlignment="1">
      <alignment vertical="top" wrapText="1"/>
    </xf>
    <xf numFmtId="0" fontId="8" fillId="0" borderId="4" xfId="26" applyFont="1" applyBorder="1" applyAlignment="1">
      <alignment horizontal="center" vertical="top" wrapText="1"/>
    </xf>
    <xf numFmtId="0" fontId="8" fillId="0" borderId="4" xfId="26" applyFont="1" applyBorder="1"/>
    <xf numFmtId="0" fontId="8" fillId="0" borderId="4" xfId="26" applyFont="1" applyBorder="1" applyAlignment="1">
      <alignment horizontal="center"/>
    </xf>
    <xf numFmtId="2" fontId="8" fillId="0" borderId="4" xfId="26" applyNumberFormat="1" applyFont="1" applyBorder="1" applyAlignment="1">
      <alignment horizontal="center"/>
    </xf>
    <xf numFmtId="0" fontId="8" fillId="0" borderId="4" xfId="26" applyFont="1" applyBorder="1" applyAlignment="1">
      <alignment wrapText="1"/>
    </xf>
    <xf numFmtId="0" fontId="8" fillId="0" borderId="4" xfId="26" applyFont="1" applyBorder="1" applyAlignment="1">
      <alignment vertical="center"/>
    </xf>
    <xf numFmtId="0" fontId="8" fillId="0" borderId="4" xfId="26" applyFont="1" applyBorder="1" applyAlignment="1">
      <alignment horizontal="center" wrapText="1"/>
    </xf>
    <xf numFmtId="15" fontId="8" fillId="0" borderId="4" xfId="26" applyNumberFormat="1" applyFont="1" applyBorder="1" applyAlignment="1">
      <alignment horizontal="center" wrapText="1"/>
    </xf>
    <xf numFmtId="0" fontId="9" fillId="0" borderId="0" xfId="27" applyFont="1">
      <alignment vertical="center"/>
    </xf>
    <xf numFmtId="0" fontId="9" fillId="0" borderId="0" xfId="25" applyFont="1" applyAlignment="1">
      <alignment vertical="top"/>
    </xf>
    <xf numFmtId="0" fontId="9" fillId="0" borderId="0" xfId="25" applyFont="1" applyAlignment="1">
      <alignment horizontal="center" vertical="top"/>
    </xf>
    <xf numFmtId="0" fontId="9" fillId="4" borderId="4" xfId="25" applyFont="1" applyFill="1" applyBorder="1" applyAlignment="1">
      <alignment horizontal="center" vertical="top" wrapText="1"/>
    </xf>
    <xf numFmtId="0" fontId="8" fillId="0" borderId="4" xfId="25" applyFont="1" applyBorder="1"/>
    <xf numFmtId="0" fontId="9" fillId="0" borderId="4" xfId="25" applyFont="1" applyBorder="1" applyAlignment="1">
      <alignment horizontal="center" vertical="top" wrapText="1"/>
    </xf>
    <xf numFmtId="0" fontId="9" fillId="0" borderId="4" xfId="25" applyFont="1" applyBorder="1" applyAlignment="1">
      <alignment horizontal="left" vertical="top"/>
    </xf>
    <xf numFmtId="164" fontId="8" fillId="0" borderId="4" xfId="33" applyNumberFormat="1" applyFont="1" applyBorder="1"/>
    <xf numFmtId="0" fontId="8" fillId="0" borderId="4" xfId="25" applyFont="1" applyBorder="1" applyAlignment="1">
      <alignment wrapText="1"/>
    </xf>
    <xf numFmtId="0" fontId="9" fillId="0" borderId="21" xfId="25" applyFont="1" applyBorder="1" applyAlignment="1">
      <alignment horizontal="center" vertical="top" wrapText="1"/>
    </xf>
    <xf numFmtId="0" fontId="9" fillId="0" borderId="6" xfId="25" applyFont="1" applyBorder="1" applyAlignment="1">
      <alignment horizontal="left" vertical="top"/>
    </xf>
    <xf numFmtId="0" fontId="8" fillId="0" borderId="6" xfId="25" applyFont="1" applyBorder="1"/>
    <xf numFmtId="164" fontId="8" fillId="0" borderId="6" xfId="33" applyNumberFormat="1" applyFont="1" applyBorder="1"/>
    <xf numFmtId="0" fontId="8" fillId="0" borderId="6" xfId="25" applyFont="1" applyBorder="1" applyAlignment="1">
      <alignment wrapText="1"/>
    </xf>
    <xf numFmtId="0" fontId="9" fillId="8" borderId="6" xfId="25" applyFont="1" applyFill="1" applyBorder="1" applyAlignment="1">
      <alignment horizontal="left" vertical="top"/>
    </xf>
    <xf numFmtId="0" fontId="9" fillId="0" borderId="18" xfId="25" applyFont="1" applyBorder="1" applyAlignment="1">
      <alignment horizontal="center" vertical="top" wrapText="1"/>
    </xf>
    <xf numFmtId="2" fontId="9" fillId="0" borderId="19" xfId="26" quotePrefix="1" applyNumberFormat="1" applyFont="1" applyBorder="1" applyAlignment="1">
      <alignment horizontal="center" vertical="center" wrapText="1"/>
    </xf>
    <xf numFmtId="0" fontId="9" fillId="0" borderId="19" xfId="25" applyFont="1" applyBorder="1"/>
    <xf numFmtId="164" fontId="9" fillId="0" borderId="19" xfId="33" applyNumberFormat="1" applyFont="1" applyFill="1" applyBorder="1"/>
    <xf numFmtId="0" fontId="9" fillId="0" borderId="19" xfId="25" applyFont="1" applyBorder="1" applyAlignment="1">
      <alignment wrapText="1"/>
    </xf>
    <xf numFmtId="164" fontId="9" fillId="0" borderId="19" xfId="33" applyNumberFormat="1" applyFont="1" applyBorder="1"/>
    <xf numFmtId="164" fontId="8" fillId="0" borderId="0" xfId="33" applyNumberFormat="1" applyFont="1" applyBorder="1"/>
    <xf numFmtId="0" fontId="8" fillId="0" borderId="15" xfId="40" applyFont="1" applyBorder="1"/>
    <xf numFmtId="0" fontId="8" fillId="0" borderId="0" xfId="40" applyFont="1"/>
    <xf numFmtId="0" fontId="9" fillId="0" borderId="0" xfId="40" applyFont="1" applyAlignment="1">
      <alignment vertical="top"/>
    </xf>
    <xf numFmtId="0" fontId="9" fillId="0" borderId="0" xfId="40" applyFont="1" applyAlignment="1">
      <alignment horizontal="center" vertical="center"/>
    </xf>
    <xf numFmtId="0" fontId="9" fillId="0" borderId="0" xfId="40" applyFont="1" applyAlignment="1">
      <alignment horizontal="right"/>
    </xf>
    <xf numFmtId="0" fontId="9" fillId="4" borderId="4" xfId="40" applyFont="1" applyFill="1" applyBorder="1" applyAlignment="1">
      <alignment horizontal="center" vertical="top" wrapText="1"/>
    </xf>
    <xf numFmtId="0" fontId="8" fillId="0" borderId="0" xfId="40" applyFont="1" applyAlignment="1">
      <alignment horizontal="center"/>
    </xf>
    <xf numFmtId="0" fontId="8" fillId="0" borderId="4" xfId="40" applyFont="1" applyBorder="1"/>
    <xf numFmtId="0" fontId="8" fillId="0" borderId="4" xfId="40" applyFont="1" applyBorder="1" applyAlignment="1">
      <alignment horizontal="left" vertical="top" wrapText="1"/>
    </xf>
    <xf numFmtId="164" fontId="8" fillId="0" borderId="4" xfId="58" applyNumberFormat="1" applyFont="1" applyFill="1" applyBorder="1"/>
    <xf numFmtId="0" fontId="8" fillId="0" borderId="4" xfId="40" applyFont="1" applyBorder="1" applyAlignment="1">
      <alignment horizontal="left"/>
    </xf>
    <xf numFmtId="0" fontId="9" fillId="0" borderId="4" xfId="40" applyFont="1" applyBorder="1"/>
    <xf numFmtId="164" fontId="9" fillId="0" borderId="4" xfId="58" applyNumberFormat="1" applyFont="1" applyFill="1" applyBorder="1"/>
    <xf numFmtId="0" fontId="9" fillId="0" borderId="4" xfId="40" applyFont="1" applyBorder="1" applyAlignment="1">
      <alignment horizontal="left" vertical="top" wrapText="1"/>
    </xf>
    <xf numFmtId="2" fontId="8" fillId="0" borderId="0" xfId="40" applyNumberFormat="1" applyFont="1"/>
    <xf numFmtId="164" fontId="8" fillId="0" borderId="0" xfId="40" applyNumberFormat="1" applyFont="1"/>
    <xf numFmtId="10" fontId="8" fillId="0" borderId="0" xfId="30" applyNumberFormat="1" applyFont="1" applyBorder="1"/>
    <xf numFmtId="0" fontId="8" fillId="8" borderId="15" xfId="40" applyFont="1" applyFill="1" applyBorder="1"/>
    <xf numFmtId="0" fontId="8" fillId="8" borderId="0" xfId="40" applyFont="1" applyFill="1"/>
    <xf numFmtId="0" fontId="9" fillId="8" borderId="0" xfId="48" applyFont="1" applyFill="1">
      <alignment vertical="center"/>
    </xf>
    <xf numFmtId="0" fontId="29" fillId="8" borderId="0" xfId="40" applyFont="1" applyFill="1" applyAlignment="1">
      <alignment vertical="center"/>
    </xf>
    <xf numFmtId="0" fontId="33" fillId="8" borderId="0" xfId="40" applyFont="1" applyFill="1" applyAlignment="1">
      <alignment vertical="center"/>
    </xf>
    <xf numFmtId="0" fontId="29" fillId="8" borderId="0" xfId="40" applyFont="1" applyFill="1" applyAlignment="1">
      <alignment horizontal="center" vertical="center"/>
    </xf>
    <xf numFmtId="0" fontId="29" fillId="8" borderId="0" xfId="40" applyFont="1" applyFill="1"/>
    <xf numFmtId="0" fontId="9" fillId="8" borderId="0" xfId="25" applyFont="1" applyFill="1" applyAlignment="1">
      <alignment horizontal="center" vertical="top"/>
    </xf>
    <xf numFmtId="0" fontId="9" fillId="8" borderId="0" xfId="48" applyFont="1" applyFill="1" applyAlignment="1">
      <alignment horizontal="center" vertical="center"/>
    </xf>
    <xf numFmtId="0" fontId="9" fillId="9" borderId="4" xfId="40" applyFont="1" applyFill="1" applyBorder="1"/>
    <xf numFmtId="0" fontId="29" fillId="9" borderId="4" xfId="40" applyFont="1" applyFill="1" applyBorder="1"/>
    <xf numFmtId="0" fontId="9" fillId="9" borderId="4" xfId="40" applyFont="1" applyFill="1" applyBorder="1" applyAlignment="1">
      <alignment vertical="top" wrapText="1"/>
    </xf>
    <xf numFmtId="0" fontId="9" fillId="9" borderId="4" xfId="40" applyFont="1" applyFill="1" applyBorder="1" applyAlignment="1">
      <alignment horizontal="center" vertical="top" wrapText="1"/>
    </xf>
    <xf numFmtId="0" fontId="8" fillId="9" borderId="4" xfId="40" applyFont="1" applyFill="1" applyBorder="1"/>
    <xf numFmtId="0" fontId="8" fillId="8" borderId="4" xfId="40" applyFont="1" applyFill="1" applyBorder="1"/>
    <xf numFmtId="0" fontId="8" fillId="8" borderId="4" xfId="40" applyFont="1" applyFill="1" applyBorder="1" applyAlignment="1">
      <alignment horizontal="right"/>
    </xf>
    <xf numFmtId="0" fontId="9" fillId="8" borderId="4" xfId="40" applyFont="1" applyFill="1" applyBorder="1"/>
    <xf numFmtId="2" fontId="8" fillId="8" borderId="4" xfId="40" applyNumberFormat="1" applyFont="1" applyFill="1" applyBorder="1"/>
    <xf numFmtId="164" fontId="8" fillId="8" borderId="4" xfId="59" applyNumberFormat="1" applyFont="1" applyFill="1" applyBorder="1"/>
    <xf numFmtId="2" fontId="8" fillId="0" borderId="4" xfId="40" applyNumberFormat="1" applyFont="1" applyBorder="1"/>
    <xf numFmtId="164" fontId="8" fillId="0" borderId="4" xfId="59" applyNumberFormat="1" applyFont="1" applyFill="1" applyBorder="1"/>
    <xf numFmtId="2" fontId="29" fillId="8" borderId="0" xfId="40" applyNumberFormat="1" applyFont="1" applyFill="1"/>
    <xf numFmtId="2" fontId="9" fillId="8" borderId="4" xfId="40" applyNumberFormat="1" applyFont="1" applyFill="1" applyBorder="1"/>
    <xf numFmtId="164" fontId="9" fillId="8" borderId="4" xfId="59" applyNumberFormat="1" applyFont="1" applyFill="1" applyBorder="1"/>
    <xf numFmtId="0" fontId="33" fillId="8" borderId="0" xfId="40" applyFont="1" applyFill="1"/>
    <xf numFmtId="0" fontId="9" fillId="8" borderId="0" xfId="40" applyFont="1" applyFill="1"/>
    <xf numFmtId="164" fontId="8" fillId="0" borderId="4" xfId="59" applyNumberFormat="1" applyFont="1" applyBorder="1"/>
    <xf numFmtId="164" fontId="8" fillId="8" borderId="4" xfId="59" applyNumberFormat="1" applyFont="1" applyFill="1" applyBorder="1" applyAlignment="1">
      <alignment horizontal="right"/>
    </xf>
    <xf numFmtId="2" fontId="8" fillId="8" borderId="0" xfId="40" applyNumberFormat="1" applyFont="1" applyFill="1"/>
    <xf numFmtId="0" fontId="14" fillId="12" borderId="4" xfId="27" applyFont="1" applyFill="1" applyBorder="1">
      <alignment vertical="center"/>
    </xf>
    <xf numFmtId="0" fontId="19" fillId="0" borderId="4" xfId="27" applyFont="1" applyBorder="1" applyAlignment="1">
      <alignment horizontal="center" vertical="center"/>
    </xf>
    <xf numFmtId="0" fontId="19" fillId="0" borderId="4" xfId="27" applyFont="1" applyBorder="1">
      <alignment vertical="center"/>
    </xf>
    <xf numFmtId="0" fontId="8" fillId="0" borderId="0" xfId="27" applyFont="1">
      <alignment vertical="center"/>
    </xf>
    <xf numFmtId="0" fontId="8" fillId="0" borderId="0" xfId="27" applyFont="1" applyAlignment="1">
      <alignment horizontal="center" vertical="center"/>
    </xf>
    <xf numFmtId="0" fontId="19" fillId="12" borderId="4" xfId="14" applyFont="1" applyFill="1" applyBorder="1" applyAlignment="1">
      <alignment horizontal="center" vertical="center"/>
    </xf>
    <xf numFmtId="0" fontId="9" fillId="0" borderId="0" xfId="40" applyFont="1" applyAlignment="1">
      <alignment horizontal="left"/>
    </xf>
    <xf numFmtId="0" fontId="9" fillId="0" borderId="0" xfId="40" applyFont="1" applyAlignment="1">
      <alignment vertical="center"/>
    </xf>
    <xf numFmtId="0" fontId="9" fillId="0" borderId="0" xfId="27" applyFont="1" applyAlignment="1">
      <alignment horizontal="right" vertical="center"/>
    </xf>
    <xf numFmtId="0" fontId="8" fillId="0" borderId="4" xfId="40" applyFont="1" applyBorder="1" applyAlignment="1">
      <alignment horizontal="center" vertical="center"/>
    </xf>
    <xf numFmtId="0" fontId="8" fillId="0" borderId="4" xfId="40" applyFont="1" applyBorder="1" applyAlignment="1">
      <alignment vertical="center"/>
    </xf>
    <xf numFmtId="0" fontId="8" fillId="0" borderId="0" xfId="40" applyFont="1" applyAlignment="1">
      <alignment vertical="center"/>
    </xf>
    <xf numFmtId="0" fontId="8" fillId="0" borderId="4" xfId="40" applyFont="1" applyBorder="1" applyAlignment="1">
      <alignment horizontal="left" vertical="center"/>
    </xf>
    <xf numFmtId="0" fontId="8" fillId="0" borderId="0" xfId="40" applyFont="1" applyAlignment="1">
      <alignment horizontal="center" vertical="center"/>
    </xf>
    <xf numFmtId="0" fontId="9" fillId="0" borderId="0" xfId="40" applyFont="1" applyAlignment="1">
      <alignment horizontal="left" vertical="center" wrapText="1"/>
    </xf>
    <xf numFmtId="0" fontId="9" fillId="0" borderId="0" xfId="40" applyFont="1" applyAlignment="1">
      <alignment horizontal="center" vertical="center" wrapText="1"/>
    </xf>
    <xf numFmtId="0" fontId="9" fillId="0" borderId="0" xfId="40" applyFont="1" applyAlignment="1">
      <alignment horizontal="left" vertical="center"/>
    </xf>
    <xf numFmtId="0" fontId="19" fillId="8" borderId="4" xfId="14" applyFont="1" applyFill="1" applyBorder="1" applyAlignment="1">
      <alignment horizontal="left" vertical="center"/>
    </xf>
    <xf numFmtId="0" fontId="19" fillId="12" borderId="4" xfId="27" applyFont="1" applyFill="1" applyBorder="1" applyAlignment="1">
      <alignment horizontal="left" vertical="center"/>
    </xf>
    <xf numFmtId="0" fontId="19" fillId="0" borderId="4" xfId="27" applyFont="1" applyBorder="1" applyAlignment="1">
      <alignment horizontal="left" vertical="center"/>
    </xf>
    <xf numFmtId="0" fontId="9" fillId="8" borderId="0" xfId="10" applyFont="1" applyFill="1" applyAlignment="1">
      <alignment horizontal="center"/>
    </xf>
    <xf numFmtId="0" fontId="9" fillId="4" borderId="4" xfId="15" applyFont="1" applyFill="1" applyBorder="1" applyAlignment="1">
      <alignment horizontal="center" vertical="center"/>
    </xf>
    <xf numFmtId="0" fontId="9" fillId="4" borderId="12" xfId="15" applyFont="1" applyFill="1" applyBorder="1" applyAlignment="1">
      <alignment horizontal="center" vertical="center" wrapText="1"/>
    </xf>
    <xf numFmtId="0" fontId="9" fillId="0" borderId="0" xfId="15" applyFont="1" applyAlignment="1">
      <alignment horizontal="center" vertical="center"/>
    </xf>
    <xf numFmtId="0" fontId="9" fillId="0" borderId="0" xfId="10" applyFont="1" applyAlignment="1">
      <alignment horizontal="center" vertical="center"/>
    </xf>
    <xf numFmtId="0" fontId="9" fillId="4" borderId="4" xfId="10" applyFont="1" applyFill="1" applyBorder="1" applyAlignment="1">
      <alignment horizontal="center" vertical="center" wrapText="1"/>
    </xf>
    <xf numFmtId="0" fontId="9" fillId="0" borderId="0" xfId="10" applyFont="1" applyAlignment="1">
      <alignment horizontal="center" vertical="center" wrapText="1"/>
    </xf>
    <xf numFmtId="0" fontId="9" fillId="0" borderId="0" xfId="26" applyFont="1" applyAlignment="1">
      <alignment horizontal="center" vertical="center"/>
    </xf>
    <xf numFmtId="0" fontId="9" fillId="0" borderId="0" xfId="26" applyFont="1" applyAlignment="1">
      <alignment vertical="top"/>
    </xf>
    <xf numFmtId="0" fontId="32" fillId="0" borderId="0" xfId="26" applyFont="1" applyAlignment="1">
      <alignment horizontal="center" vertical="center"/>
    </xf>
    <xf numFmtId="0" fontId="9" fillId="0" borderId="0" xfId="26" applyFont="1"/>
    <xf numFmtId="0" fontId="8" fillId="4" borderId="4" xfId="26" applyFont="1" applyFill="1" applyBorder="1" applyAlignment="1">
      <alignment horizontal="center"/>
    </xf>
    <xf numFmtId="0" fontId="9" fillId="4" borderId="4" xfId="26" quotePrefix="1" applyFont="1" applyFill="1" applyBorder="1" applyAlignment="1">
      <alignment horizontal="center" vertical="top" wrapText="1"/>
    </xf>
    <xf numFmtId="0" fontId="9" fillId="4" borderId="4" xfId="26" applyFont="1" applyFill="1" applyBorder="1" applyAlignment="1">
      <alignment horizontal="center" vertical="top" wrapText="1"/>
    </xf>
    <xf numFmtId="0" fontId="9" fillId="0" borderId="4" xfId="26" applyFont="1" applyBorder="1" applyAlignment="1">
      <alignment horizontal="left" vertical="top" wrapText="1"/>
    </xf>
    <xf numFmtId="0" fontId="9" fillId="0" borderId="4" xfId="26" applyFont="1" applyBorder="1" applyAlignment="1">
      <alignment horizontal="center" vertical="top" wrapText="1"/>
    </xf>
    <xf numFmtId="2" fontId="15" fillId="0" borderId="0" xfId="26" applyNumberFormat="1" applyFont="1"/>
    <xf numFmtId="2" fontId="8" fillId="0" borderId="4" xfId="26" applyNumberFormat="1" applyFont="1" applyBorder="1"/>
    <xf numFmtId="9" fontId="36" fillId="0" borderId="0" xfId="30" applyFont="1" applyBorder="1"/>
    <xf numFmtId="0" fontId="36" fillId="0" borderId="0" xfId="26" applyFont="1"/>
    <xf numFmtId="0" fontId="9" fillId="0" borderId="4" xfId="26" applyFont="1" applyBorder="1"/>
    <xf numFmtId="0" fontId="9" fillId="0" borderId="4" xfId="26" applyFont="1" applyBorder="1" applyAlignment="1">
      <alignment horizontal="center"/>
    </xf>
    <xf numFmtId="2" fontId="9" fillId="0" borderId="4" xfId="26" applyNumberFormat="1" applyFont="1" applyBorder="1" applyAlignment="1">
      <alignment horizontal="center"/>
    </xf>
    <xf numFmtId="2" fontId="9" fillId="0" borderId="4" xfId="26" applyNumberFormat="1" applyFont="1" applyBorder="1"/>
    <xf numFmtId="10" fontId="36" fillId="0" borderId="0" xfId="30" applyNumberFormat="1" applyFont="1" applyBorder="1"/>
    <xf numFmtId="0" fontId="15" fillId="0" borderId="0" xfId="26" applyFont="1"/>
    <xf numFmtId="0" fontId="8" fillId="0" borderId="4" xfId="26" applyFont="1" applyBorder="1" applyAlignment="1">
      <alignment horizontal="right"/>
    </xf>
    <xf numFmtId="10" fontId="12" fillId="0" borderId="0" xfId="30" applyNumberFormat="1" applyFont="1" applyBorder="1"/>
    <xf numFmtId="0" fontId="12" fillId="0" borderId="0" xfId="26" applyFont="1"/>
    <xf numFmtId="0" fontId="8" fillId="8" borderId="4" xfId="26" applyFont="1" applyFill="1" applyBorder="1" applyAlignment="1">
      <alignment horizontal="right"/>
    </xf>
    <xf numFmtId="172" fontId="12" fillId="0" borderId="0" xfId="30" applyNumberFormat="1" applyFont="1" applyBorder="1"/>
    <xf numFmtId="2" fontId="12" fillId="0" borderId="0" xfId="26" applyNumberFormat="1" applyFont="1"/>
    <xf numFmtId="2" fontId="8" fillId="0" borderId="0" xfId="26" applyNumberFormat="1" applyFont="1"/>
    <xf numFmtId="171" fontId="12" fillId="0" borderId="0" xfId="26" applyNumberFormat="1" applyFont="1"/>
    <xf numFmtId="46" fontId="9" fillId="0" borderId="4" xfId="26" quotePrefix="1" applyNumberFormat="1" applyFont="1" applyBorder="1" applyAlignment="1">
      <alignment horizontal="center"/>
    </xf>
    <xf numFmtId="2" fontId="11" fillId="0" borderId="0" xfId="26" applyNumberFormat="1" applyFont="1"/>
    <xf numFmtId="0" fontId="9" fillId="0" borderId="4" xfId="26" applyFont="1" applyBorder="1" applyAlignment="1">
      <alignment wrapText="1"/>
    </xf>
    <xf numFmtId="0" fontId="8" fillId="0" borderId="0" xfId="26" applyFont="1" applyAlignment="1">
      <alignment horizontal="left" vertical="top"/>
    </xf>
    <xf numFmtId="46" fontId="37" fillId="0" borderId="0" xfId="26" applyNumberFormat="1" applyFont="1" applyAlignment="1">
      <alignment horizontal="left"/>
    </xf>
    <xf numFmtId="0" fontId="37" fillId="0" borderId="0" xfId="26" applyFont="1" applyAlignment="1">
      <alignment horizontal="center"/>
    </xf>
    <xf numFmtId="164" fontId="38" fillId="0" borderId="0" xfId="26" applyNumberFormat="1" applyFont="1" applyAlignment="1">
      <alignment horizontal="center"/>
    </xf>
    <xf numFmtId="9" fontId="38" fillId="0" borderId="0" xfId="30" quotePrefix="1" applyFont="1" applyFill="1" applyBorder="1" applyAlignment="1">
      <alignment horizontal="right"/>
    </xf>
    <xf numFmtId="164" fontId="38" fillId="0" borderId="0" xfId="32" applyNumberFormat="1" applyFont="1" applyFill="1" applyBorder="1" applyAlignment="1">
      <alignment horizontal="center"/>
    </xf>
    <xf numFmtId="164" fontId="8" fillId="0" borderId="0" xfId="32" applyNumberFormat="1" applyFont="1" applyFill="1" applyBorder="1"/>
    <xf numFmtId="173" fontId="8" fillId="0" borderId="0" xfId="26" applyNumberFormat="1" applyFont="1"/>
    <xf numFmtId="0" fontId="8" fillId="0" borderId="0" xfId="31" applyFont="1" applyAlignment="1">
      <alignment wrapText="1"/>
    </xf>
    <xf numFmtId="0" fontId="8" fillId="0" borderId="15" xfId="31" applyFont="1" applyBorder="1" applyAlignment="1">
      <alignment wrapText="1"/>
    </xf>
    <xf numFmtId="0" fontId="8" fillId="0" borderId="0" xfId="31" applyFont="1" applyAlignment="1">
      <alignment horizontal="center" wrapText="1"/>
    </xf>
    <xf numFmtId="0" fontId="32" fillId="0" borderId="0" xfId="26" applyFont="1" applyAlignment="1">
      <alignment vertical="center"/>
    </xf>
    <xf numFmtId="0" fontId="9" fillId="0" borderId="0" xfId="26" applyFont="1" applyAlignment="1">
      <alignment vertical="center"/>
    </xf>
    <xf numFmtId="0" fontId="32" fillId="9" borderId="4" xfId="26" applyFont="1" applyFill="1" applyBorder="1" applyAlignment="1">
      <alignment horizontal="center" vertical="center" wrapText="1"/>
    </xf>
    <xf numFmtId="1" fontId="32" fillId="9" borderId="4" xfId="26" applyNumberFormat="1" applyFont="1" applyFill="1" applyBorder="1" applyAlignment="1">
      <alignment horizontal="center" vertical="center" wrapText="1"/>
    </xf>
    <xf numFmtId="0" fontId="8" fillId="0" borderId="5" xfId="26" applyFont="1" applyBorder="1" applyAlignment="1">
      <alignment horizontal="center" vertical="center"/>
    </xf>
    <xf numFmtId="0" fontId="8" fillId="0" borderId="4" xfId="26" applyFont="1" applyBorder="1" applyAlignment="1">
      <alignment horizontal="center" vertical="center"/>
    </xf>
    <xf numFmtId="1" fontId="9" fillId="0" borderId="13" xfId="26" applyNumberFormat="1" applyFont="1" applyBorder="1" applyAlignment="1">
      <alignment horizontal="center" vertical="center"/>
    </xf>
    <xf numFmtId="2" fontId="8" fillId="0" borderId="17" xfId="26" applyNumberFormat="1" applyFont="1" applyBorder="1" applyAlignment="1">
      <alignment horizontal="center" vertical="center"/>
    </xf>
    <xf numFmtId="0" fontId="9" fillId="0" borderId="0" xfId="31" applyFont="1" applyAlignment="1">
      <alignment wrapText="1"/>
    </xf>
    <xf numFmtId="0" fontId="8" fillId="0" borderId="4" xfId="26" applyFont="1" applyBorder="1" applyAlignment="1">
      <alignment horizontal="center" vertical="center" wrapText="1"/>
    </xf>
    <xf numFmtId="2" fontId="8" fillId="0" borderId="4" xfId="26" applyNumberFormat="1" applyFont="1" applyBorder="1" applyAlignment="1">
      <alignment horizontal="center" vertical="center"/>
    </xf>
    <xf numFmtId="0" fontId="8" fillId="0" borderId="18" xfId="26" applyFont="1" applyBorder="1" applyAlignment="1">
      <alignment vertical="center"/>
    </xf>
    <xf numFmtId="0" fontId="8" fillId="0" borderId="19" xfId="26" applyFont="1" applyBorder="1" applyAlignment="1">
      <alignment horizontal="left" vertical="center" wrapText="1"/>
    </xf>
    <xf numFmtId="0" fontId="8" fillId="0" borderId="19" xfId="26" applyFont="1" applyBorder="1" applyAlignment="1">
      <alignment horizontal="center" vertical="center"/>
    </xf>
    <xf numFmtId="0" fontId="8" fillId="0" borderId="19" xfId="26" applyFont="1" applyBorder="1" applyAlignment="1">
      <alignment horizontal="left" vertical="center"/>
    </xf>
    <xf numFmtId="1" fontId="9" fillId="0" borderId="19" xfId="26" applyNumberFormat="1" applyFont="1" applyBorder="1" applyAlignment="1">
      <alignment horizontal="center" vertical="center"/>
    </xf>
    <xf numFmtId="2" fontId="8" fillId="0" borderId="20" xfId="26" applyNumberFormat="1" applyFont="1" applyBorder="1" applyAlignment="1">
      <alignment horizontal="center" vertical="center"/>
    </xf>
    <xf numFmtId="2" fontId="8" fillId="0" borderId="0" xfId="31" applyNumberFormat="1" applyFont="1" applyAlignment="1">
      <alignment wrapText="1"/>
    </xf>
    <xf numFmtId="171" fontId="36" fillId="0" borderId="0" xfId="31" applyNumberFormat="1" applyFont="1" applyAlignment="1">
      <alignment horizontal="center" wrapText="1"/>
    </xf>
    <xf numFmtId="2" fontId="8" fillId="0" borderId="0" xfId="31" applyNumberFormat="1" applyFont="1" applyAlignment="1">
      <alignment horizontal="center" wrapText="1"/>
    </xf>
    <xf numFmtId="171" fontId="8" fillId="0" borderId="0" xfId="31" applyNumberFormat="1" applyFont="1" applyAlignment="1">
      <alignment wrapText="1"/>
    </xf>
    <xf numFmtId="0" fontId="39" fillId="0" borderId="0" xfId="31" applyFont="1" applyAlignment="1">
      <alignment horizontal="center" wrapText="1"/>
    </xf>
    <xf numFmtId="2" fontId="39" fillId="0" borderId="0" xfId="31" applyNumberFormat="1" applyFont="1" applyAlignment="1">
      <alignment horizontal="center" wrapText="1"/>
    </xf>
    <xf numFmtId="171" fontId="39" fillId="0" borderId="0" xfId="31" applyNumberFormat="1" applyFont="1" applyAlignment="1">
      <alignment horizontal="center" wrapText="1"/>
    </xf>
    <xf numFmtId="170" fontId="9" fillId="0" borderId="0" xfId="29" applyNumberFormat="1" applyFont="1" applyAlignment="1">
      <alignment horizontal="center" wrapText="1"/>
    </xf>
    <xf numFmtId="170" fontId="8" fillId="0" borderId="0" xfId="31" applyNumberFormat="1" applyFont="1" applyAlignment="1">
      <alignment horizontal="center" wrapText="1"/>
    </xf>
    <xf numFmtId="0" fontId="8" fillId="0" borderId="15" xfId="25" applyFont="1" applyBorder="1" applyAlignment="1">
      <alignment vertical="center" wrapText="1"/>
    </xf>
    <xf numFmtId="0" fontId="9" fillId="0" borderId="0" xfId="25" applyFont="1" applyAlignment="1">
      <alignment horizontal="right" wrapText="1"/>
    </xf>
    <xf numFmtId="0" fontId="9" fillId="4" borderId="4" xfId="25" applyFont="1" applyFill="1" applyBorder="1" applyAlignment="1">
      <alignment horizontal="center" vertical="center" wrapText="1"/>
    </xf>
    <xf numFmtId="2" fontId="9" fillId="4" borderId="4" xfId="25" applyNumberFormat="1" applyFont="1" applyFill="1" applyBorder="1" applyAlignment="1">
      <alignment horizontal="center" vertical="center" wrapText="1"/>
    </xf>
    <xf numFmtId="169" fontId="9" fillId="0" borderId="4" xfId="25" quotePrefix="1" applyNumberFormat="1" applyFont="1" applyBorder="1" applyAlignment="1">
      <alignment horizontal="center" vertical="center" wrapText="1"/>
    </xf>
    <xf numFmtId="0" fontId="9" fillId="0" borderId="4" xfId="25" applyFont="1" applyBorder="1" applyAlignment="1">
      <alignment horizontal="justify" vertical="center" wrapText="1"/>
    </xf>
    <xf numFmtId="0" fontId="9" fillId="0" borderId="4" xfId="25" applyFont="1" applyBorder="1" applyAlignment="1">
      <alignment horizontal="justify" vertical="top"/>
    </xf>
    <xf numFmtId="164" fontId="9" fillId="0" borderId="4" xfId="28" applyNumberFormat="1" applyFont="1" applyFill="1" applyBorder="1" applyAlignment="1">
      <alignment horizontal="right" vertical="center"/>
    </xf>
    <xf numFmtId="0" fontId="9" fillId="0" borderId="4" xfId="25" applyFont="1" applyBorder="1" applyAlignment="1">
      <alignment wrapText="1"/>
    </xf>
    <xf numFmtId="169" fontId="8" fillId="0" borderId="4" xfId="25" applyNumberFormat="1" applyFont="1" applyBorder="1" applyAlignment="1">
      <alignment horizontal="center" vertical="center"/>
    </xf>
    <xf numFmtId="0" fontId="8" fillId="0" borderId="4" xfId="25" applyFont="1" applyBorder="1" applyAlignment="1">
      <alignment vertical="center" wrapText="1"/>
    </xf>
    <xf numFmtId="0" fontId="8" fillId="0" borderId="4" xfId="29" applyFont="1" applyBorder="1"/>
    <xf numFmtId="164" fontId="8" fillId="0" borderId="4" xfId="28" applyNumberFormat="1" applyFont="1" applyFill="1" applyBorder="1" applyAlignment="1">
      <alignment horizontal="right" vertical="center"/>
    </xf>
    <xf numFmtId="2" fontId="8" fillId="0" borderId="4" xfId="25" applyNumberFormat="1" applyFont="1" applyBorder="1" applyAlignment="1">
      <alignment wrapText="1"/>
    </xf>
    <xf numFmtId="0" fontId="8" fillId="0" borderId="4" xfId="29" applyFont="1" applyBorder="1" applyAlignment="1">
      <alignment vertical="center" wrapText="1"/>
    </xf>
    <xf numFmtId="0" fontId="8" fillId="0" borderId="4" xfId="25" applyFont="1" applyBorder="1" applyAlignment="1">
      <alignment horizontal="center" vertical="center"/>
    </xf>
    <xf numFmtId="0" fontId="9" fillId="0" borderId="4" xfId="29" applyFont="1" applyBorder="1"/>
    <xf numFmtId="2" fontId="9" fillId="0" borderId="4" xfId="25" applyNumberFormat="1" applyFont="1" applyBorder="1" applyAlignment="1">
      <alignment wrapText="1"/>
    </xf>
    <xf numFmtId="169" fontId="9" fillId="0" borderId="4" xfId="26" applyNumberFormat="1" applyFont="1" applyBorder="1" applyAlignment="1">
      <alignment horizontal="center" vertical="center"/>
    </xf>
    <xf numFmtId="0" fontId="9" fillId="0" borderId="4" xfId="29" applyFont="1" applyBorder="1" applyAlignment="1">
      <alignment vertical="center" wrapText="1"/>
    </xf>
    <xf numFmtId="169" fontId="8" fillId="0" borderId="4" xfId="26" applyNumberFormat="1" applyFont="1" applyBorder="1" applyAlignment="1">
      <alignment horizontal="center" vertical="center"/>
    </xf>
    <xf numFmtId="0" fontId="9" fillId="0" borderId="4" xfId="25" applyFont="1" applyBorder="1"/>
    <xf numFmtId="164" fontId="9" fillId="0" borderId="4" xfId="28" applyNumberFormat="1" applyFont="1" applyBorder="1" applyAlignment="1">
      <alignment horizontal="right" vertical="center"/>
    </xf>
    <xf numFmtId="164" fontId="8" fillId="0" borderId="4" xfId="28" applyNumberFormat="1" applyFont="1" applyBorder="1" applyAlignment="1">
      <alignment horizontal="right" vertical="center"/>
    </xf>
    <xf numFmtId="164" fontId="9" fillId="0" borderId="4" xfId="25" applyNumberFormat="1" applyFont="1" applyBorder="1" applyAlignment="1">
      <alignment wrapText="1"/>
    </xf>
    <xf numFmtId="0" fontId="9" fillId="0" borderId="4" xfId="26" applyFont="1" applyBorder="1" applyAlignment="1">
      <alignment vertical="center" wrapText="1"/>
    </xf>
    <xf numFmtId="0" fontId="8" fillId="0" borderId="4" xfId="26" applyFont="1" applyBorder="1" applyAlignment="1">
      <alignment vertical="center" wrapText="1"/>
    </xf>
    <xf numFmtId="164" fontId="9" fillId="0" borderId="4" xfId="25" applyNumberFormat="1" applyFont="1" applyBorder="1"/>
    <xf numFmtId="0" fontId="9" fillId="4" borderId="4" xfId="26" applyFont="1" applyFill="1" applyBorder="1" applyAlignment="1">
      <alignment horizontal="center" vertical="center"/>
    </xf>
    <xf numFmtId="0" fontId="9" fillId="4" borderId="4" xfId="26" applyFont="1" applyFill="1" applyBorder="1" applyAlignment="1">
      <alignment horizontal="center" vertical="center" wrapText="1"/>
    </xf>
    <xf numFmtId="0" fontId="40" fillId="0" borderId="4" xfId="26" applyFont="1" applyBorder="1" applyAlignment="1">
      <alignment horizontal="justify" vertical="top"/>
    </xf>
    <xf numFmtId="0" fontId="8" fillId="0" borderId="4" xfId="26" applyFont="1" applyBorder="1" applyAlignment="1">
      <alignment horizontal="justify" vertical="top"/>
    </xf>
    <xf numFmtId="0" fontId="9" fillId="0" borderId="4" xfId="26" applyFont="1" applyBorder="1" applyAlignment="1">
      <alignment horizontal="justify" vertical="top"/>
    </xf>
    <xf numFmtId="0" fontId="8" fillId="0" borderId="0" xfId="0" applyFont="1" applyAlignment="1">
      <alignment wrapText="1"/>
    </xf>
    <xf numFmtId="0" fontId="8" fillId="0" borderId="0" xfId="0" applyFont="1" applyAlignment="1">
      <alignment horizontal="center"/>
    </xf>
    <xf numFmtId="0" fontId="9" fillId="0" borderId="4" xfId="0" applyFont="1" applyBorder="1" applyAlignment="1">
      <alignment horizontal="left" vertical="top" wrapText="1"/>
    </xf>
    <xf numFmtId="0" fontId="9" fillId="0" borderId="4" xfId="0" applyFont="1" applyBorder="1" applyAlignment="1">
      <alignment vertical="top" wrapText="1"/>
    </xf>
    <xf numFmtId="0" fontId="9" fillId="0" borderId="4" xfId="0" applyFont="1" applyBorder="1" applyAlignment="1">
      <alignment horizontal="center" vertical="top"/>
    </xf>
    <xf numFmtId="0" fontId="9" fillId="0" borderId="0" xfId="15" applyFont="1" applyAlignment="1">
      <alignment horizontal="left" vertical="center"/>
    </xf>
    <xf numFmtId="0" fontId="37" fillId="5" borderId="0" xfId="10" applyFont="1" applyFill="1" applyAlignment="1">
      <alignment horizontal="center" vertical="center" wrapText="1"/>
    </xf>
    <xf numFmtId="0" fontId="9" fillId="0" borderId="0" xfId="0" applyFont="1" applyAlignment="1">
      <alignment vertical="top"/>
    </xf>
    <xf numFmtId="0" fontId="9" fillId="0" borderId="0" xfId="0" applyFont="1" applyAlignment="1">
      <alignment horizontal="center"/>
    </xf>
    <xf numFmtId="0" fontId="8" fillId="0" borderId="6" xfId="17" applyFont="1" applyBorder="1" applyAlignment="1">
      <alignment horizontal="center" vertical="center"/>
    </xf>
    <xf numFmtId="0" fontId="8" fillId="0" borderId="9" xfId="17" applyFont="1" applyBorder="1" applyAlignment="1">
      <alignment horizontal="center" vertical="center"/>
    </xf>
    <xf numFmtId="0" fontId="8" fillId="0" borderId="8" xfId="17" applyFont="1" applyBorder="1" applyAlignment="1">
      <alignment horizontal="center" vertical="center"/>
    </xf>
    <xf numFmtId="0" fontId="8" fillId="0" borderId="3" xfId="11" applyFont="1" applyBorder="1" applyAlignment="1">
      <alignment horizontal="center"/>
    </xf>
    <xf numFmtId="0" fontId="9" fillId="0" borderId="3" xfId="15" applyFont="1" applyBorder="1" applyAlignment="1">
      <alignment horizontal="center" vertical="center" wrapText="1"/>
    </xf>
    <xf numFmtId="0" fontId="8" fillId="0" borderId="4" xfId="11" applyFont="1" applyBorder="1" applyAlignment="1">
      <alignment horizontal="center"/>
    </xf>
    <xf numFmtId="0" fontId="9" fillId="4" borderId="4" xfId="27" applyFont="1" applyFill="1" applyBorder="1" applyAlignment="1">
      <alignment horizontal="center" vertical="center" wrapText="1"/>
    </xf>
    <xf numFmtId="0" fontId="9" fillId="4" borderId="12" xfId="27" applyFont="1" applyFill="1" applyBorder="1" applyAlignment="1">
      <alignment horizontal="center" vertical="center" wrapText="1"/>
    </xf>
    <xf numFmtId="0" fontId="9" fillId="4" borderId="12" xfId="15" applyFont="1" applyFill="1" applyBorder="1" applyAlignment="1">
      <alignment horizontal="center" vertical="center"/>
    </xf>
    <xf numFmtId="0" fontId="9" fillId="6" borderId="12" xfId="11" applyFont="1" applyFill="1" applyBorder="1" applyAlignment="1">
      <alignment vertical="center" wrapText="1"/>
    </xf>
    <xf numFmtId="0" fontId="9" fillId="9" borderId="4" xfId="27" applyFont="1" applyFill="1" applyBorder="1" applyAlignment="1">
      <alignment horizontal="center" vertical="center" wrapText="1"/>
    </xf>
    <xf numFmtId="0" fontId="8" fillId="0" borderId="4" xfId="40" applyFont="1" applyBorder="1" applyAlignment="1">
      <alignment horizontal="center"/>
    </xf>
    <xf numFmtId="0" fontId="9" fillId="4" borderId="4" xfId="40" applyFont="1" applyFill="1" applyBorder="1" applyAlignment="1">
      <alignment horizontal="center" vertical="center" wrapText="1"/>
    </xf>
    <xf numFmtId="0" fontId="9" fillId="4" borderId="6" xfId="40" applyFont="1" applyFill="1" applyBorder="1" applyAlignment="1">
      <alignment horizontal="center" vertical="center" wrapText="1"/>
    </xf>
    <xf numFmtId="0" fontId="9" fillId="4" borderId="4" xfId="40" quotePrefix="1" applyFont="1" applyFill="1" applyBorder="1" applyAlignment="1">
      <alignment horizontal="center" vertical="center" wrapText="1"/>
    </xf>
    <xf numFmtId="0" fontId="9" fillId="4" borderId="8" xfId="27" applyFont="1" applyFill="1" applyBorder="1" applyAlignment="1">
      <alignment horizontal="center" vertical="center" wrapText="1"/>
    </xf>
    <xf numFmtId="0" fontId="9" fillId="0" borderId="4" xfId="27" applyFont="1" applyBorder="1" applyAlignment="1">
      <alignment horizontal="center" vertical="center" wrapText="1"/>
    </xf>
    <xf numFmtId="0" fontId="9" fillId="0" borderId="8" xfId="27" applyFont="1" applyBorder="1" applyAlignment="1">
      <alignment horizontal="center" vertical="center" wrapText="1"/>
    </xf>
    <xf numFmtId="0" fontId="8" fillId="0" borderId="4" xfId="27" applyFont="1" applyBorder="1" applyAlignment="1">
      <alignment horizontal="center" vertical="top" wrapText="1"/>
    </xf>
    <xf numFmtId="0" fontId="8" fillId="0" borderId="4" xfId="27" applyFont="1" applyBorder="1" applyAlignment="1">
      <alignment vertical="top" wrapText="1"/>
    </xf>
    <xf numFmtId="0" fontId="8" fillId="0" borderId="4" xfId="27" applyFont="1" applyBorder="1">
      <alignment vertical="center"/>
    </xf>
    <xf numFmtId="0" fontId="8" fillId="0" borderId="4" xfId="27" applyFont="1" applyBorder="1" applyAlignment="1">
      <alignment horizontal="center" vertical="center" wrapText="1"/>
    </xf>
    <xf numFmtId="0" fontId="8" fillId="5" borderId="4" xfId="40" applyFont="1" applyFill="1" applyBorder="1" applyAlignment="1">
      <alignment horizontal="left" wrapText="1"/>
    </xf>
    <xf numFmtId="0" fontId="9" fillId="0" borderId="4" xfId="27" applyFont="1" applyBorder="1" applyAlignment="1">
      <alignment vertical="top" wrapText="1"/>
    </xf>
    <xf numFmtId="0" fontId="10" fillId="0" borderId="0" xfId="40" applyFont="1" applyAlignment="1">
      <alignment vertical="center" wrapText="1"/>
    </xf>
    <xf numFmtId="0" fontId="8" fillId="0" borderId="4" xfId="27" applyFont="1" applyBorder="1" applyAlignment="1">
      <alignment horizontal="center" vertical="center"/>
    </xf>
    <xf numFmtId="0" fontId="9" fillId="4" borderId="4" xfId="0" applyFont="1" applyFill="1" applyBorder="1" applyAlignment="1">
      <alignment horizontal="center" vertical="top" wrapText="1"/>
    </xf>
    <xf numFmtId="0" fontId="9" fillId="9" borderId="4" xfId="40" applyFont="1" applyFill="1" applyBorder="1" applyAlignment="1">
      <alignment horizontal="center" vertical="center" wrapText="1"/>
    </xf>
    <xf numFmtId="0" fontId="8" fillId="0" borderId="10" xfId="11" applyFont="1" applyBorder="1" applyAlignment="1">
      <alignment horizontal="center"/>
    </xf>
    <xf numFmtId="0" fontId="9" fillId="0" borderId="10" xfId="15" applyFont="1" applyBorder="1" applyAlignment="1">
      <alignment horizontal="center" vertical="center" wrapText="1"/>
    </xf>
    <xf numFmtId="0" fontId="9" fillId="6" borderId="10" xfId="15" applyFont="1" applyFill="1" applyBorder="1" applyAlignment="1">
      <alignment horizontal="center" vertical="center"/>
    </xf>
    <xf numFmtId="0" fontId="8" fillId="8" borderId="0" xfId="25" applyFont="1" applyFill="1"/>
    <xf numFmtId="164" fontId="8" fillId="8" borderId="0" xfId="33" applyNumberFormat="1" applyFont="1" applyFill="1" applyBorder="1"/>
    <xf numFmtId="0" fontId="8" fillId="8" borderId="0" xfId="25" applyFont="1" applyFill="1" applyAlignment="1">
      <alignment wrapText="1"/>
    </xf>
    <xf numFmtId="0" fontId="10" fillId="8" borderId="0" xfId="14" applyFont="1" applyFill="1">
      <alignment vertical="center"/>
    </xf>
    <xf numFmtId="0" fontId="8" fillId="8" borderId="0" xfId="14" applyFont="1" applyFill="1">
      <alignment vertical="center"/>
    </xf>
    <xf numFmtId="0" fontId="19" fillId="8" borderId="4" xfId="14" applyFont="1" applyFill="1" applyBorder="1" applyAlignment="1">
      <alignment horizontal="center" vertical="center"/>
    </xf>
    <xf numFmtId="0" fontId="8" fillId="8" borderId="0" xfId="10" applyFont="1" applyFill="1"/>
    <xf numFmtId="0" fontId="8" fillId="0" borderId="10" xfId="11" quotePrefix="1" applyFont="1" applyBorder="1" applyAlignment="1">
      <alignment horizontal="center" vertical="center" wrapText="1"/>
    </xf>
    <xf numFmtId="0" fontId="9" fillId="0" borderId="10" xfId="11" applyFont="1" applyBorder="1" applyAlignment="1">
      <alignment horizontal="center" vertical="center" wrapText="1"/>
    </xf>
    <xf numFmtId="0" fontId="8" fillId="0" borderId="10" xfId="11" applyFont="1" applyBorder="1" applyAlignment="1">
      <alignment horizontal="center" vertical="center" wrapText="1"/>
    </xf>
    <xf numFmtId="0" fontId="9" fillId="9" borderId="12" xfId="11" applyFont="1" applyFill="1" applyBorder="1" applyAlignment="1">
      <alignment vertical="center"/>
    </xf>
    <xf numFmtId="0" fontId="8" fillId="8" borderId="0" xfId="27" applyFont="1" applyFill="1">
      <alignment vertical="center"/>
    </xf>
    <xf numFmtId="0" fontId="9" fillId="8" borderId="0" xfId="40" applyFont="1" applyFill="1" applyAlignment="1">
      <alignment horizontal="left" vertical="top"/>
    </xf>
    <xf numFmtId="0" fontId="8" fillId="0" borderId="0" xfId="40" applyFont="1" applyAlignment="1">
      <alignment vertical="top"/>
    </xf>
    <xf numFmtId="0" fontId="9" fillId="0" borderId="0" xfId="40" applyFont="1"/>
    <xf numFmtId="0" fontId="9" fillId="0" borderId="0" xfId="40" applyFont="1" applyAlignment="1">
      <alignment horizontal="center"/>
    </xf>
    <xf numFmtId="0" fontId="9" fillId="0" borderId="0" xfId="27" applyFont="1" applyAlignment="1">
      <alignment horizontal="left" vertical="center"/>
    </xf>
    <xf numFmtId="0" fontId="9" fillId="9" borderId="6" xfId="40" applyFont="1" applyFill="1" applyBorder="1" applyAlignment="1">
      <alignment horizontal="center" vertical="center" wrapText="1"/>
    </xf>
    <xf numFmtId="0" fontId="9" fillId="0" borderId="8" xfId="27" applyFont="1" applyBorder="1" applyAlignment="1">
      <alignment horizontal="center" vertical="center"/>
    </xf>
    <xf numFmtId="0" fontId="9" fillId="0" borderId="6" xfId="40" applyFont="1" applyBorder="1" applyAlignment="1">
      <alignment horizontal="center" vertical="center" wrapText="1"/>
    </xf>
    <xf numFmtId="0" fontId="9" fillId="0" borderId="4" xfId="40" applyFont="1" applyBorder="1" applyAlignment="1">
      <alignment horizontal="center" vertical="center" wrapText="1"/>
    </xf>
    <xf numFmtId="0" fontId="9" fillId="0" borderId="4" xfId="27" applyFont="1" applyBorder="1">
      <alignment vertical="center"/>
    </xf>
    <xf numFmtId="0" fontId="9" fillId="0" borderId="0" xfId="40" applyFont="1" applyAlignment="1">
      <alignment horizontal="centerContinuous"/>
    </xf>
    <xf numFmtId="0" fontId="8" fillId="0" borderId="0" xfId="40" applyFont="1" applyAlignment="1">
      <alignment horizontal="centerContinuous"/>
    </xf>
    <xf numFmtId="0" fontId="11" fillId="0" borderId="0" xfId="40" applyFont="1" applyAlignment="1">
      <alignment horizontal="left"/>
    </xf>
    <xf numFmtId="0" fontId="8" fillId="0" borderId="4" xfId="40" applyFont="1" applyBorder="1" applyAlignment="1">
      <alignment horizontal="center" vertical="top"/>
    </xf>
    <xf numFmtId="0" fontId="8" fillId="0" borderId="4" xfId="40" applyFont="1" applyBorder="1" applyAlignment="1">
      <alignment horizontal="left" vertical="top"/>
    </xf>
    <xf numFmtId="0" fontId="8" fillId="0" borderId="4" xfId="40" applyFont="1" applyBorder="1" applyAlignment="1">
      <alignment vertical="top"/>
    </xf>
    <xf numFmtId="0" fontId="12" fillId="0" borderId="4" xfId="40" applyFont="1" applyBorder="1"/>
    <xf numFmtId="0" fontId="13" fillId="0" borderId="4" xfId="40" applyFont="1" applyBorder="1" applyAlignment="1">
      <alignment horizontal="left"/>
    </xf>
    <xf numFmtId="0" fontId="9" fillId="0" borderId="4" xfId="40" applyFont="1" applyBorder="1" applyAlignment="1">
      <alignment horizontal="left" vertical="top"/>
    </xf>
    <xf numFmtId="0" fontId="13" fillId="0" borderId="0" xfId="40" applyFont="1" applyAlignment="1">
      <alignment horizontal="left"/>
    </xf>
    <xf numFmtId="0" fontId="9" fillId="0" borderId="0" xfId="40" applyFont="1" applyAlignment="1">
      <alignment horizontal="left" vertical="top"/>
    </xf>
    <xf numFmtId="0" fontId="12" fillId="0" borderId="0" xfId="40" applyFont="1"/>
    <xf numFmtId="0" fontId="13" fillId="8" borderId="0" xfId="40" applyFont="1" applyFill="1" applyAlignment="1">
      <alignment horizontal="left"/>
    </xf>
    <xf numFmtId="0" fontId="8" fillId="8" borderId="4" xfId="40" applyFont="1" applyFill="1" applyBorder="1" applyAlignment="1">
      <alignment horizontal="left" vertical="top"/>
    </xf>
    <xf numFmtId="0" fontId="8" fillId="8" borderId="4" xfId="40" applyFont="1" applyFill="1" applyBorder="1" applyAlignment="1">
      <alignment horizontal="left" vertical="top" wrapText="1"/>
    </xf>
    <xf numFmtId="0" fontId="8" fillId="8" borderId="4" xfId="40" applyFont="1" applyFill="1" applyBorder="1" applyAlignment="1">
      <alignment vertical="top"/>
    </xf>
    <xf numFmtId="0" fontId="9" fillId="8" borderId="0" xfId="40" applyFont="1" applyFill="1" applyAlignment="1">
      <alignment horizontal="centerContinuous"/>
    </xf>
    <xf numFmtId="0" fontId="37" fillId="0" borderId="0" xfId="27" applyFont="1">
      <alignment vertical="center"/>
    </xf>
    <xf numFmtId="0" fontId="31" fillId="0" borderId="4" xfId="72" applyFont="1" applyBorder="1" applyAlignment="1">
      <alignment vertical="center"/>
    </xf>
    <xf numFmtId="0" fontId="31" fillId="0" borderId="4" xfId="72" applyFont="1" applyBorder="1" applyAlignment="1">
      <alignment horizontal="center" vertical="center"/>
    </xf>
    <xf numFmtId="0" fontId="32" fillId="0" borderId="4" xfId="72" applyFont="1" applyBorder="1" applyAlignment="1">
      <alignment vertical="center"/>
    </xf>
    <xf numFmtId="0" fontId="32" fillId="0" borderId="4" xfId="72" applyFont="1" applyBorder="1" applyAlignment="1">
      <alignment horizontal="center" vertical="center"/>
    </xf>
    <xf numFmtId="0" fontId="32" fillId="0" borderId="0" xfId="72" applyFont="1" applyAlignment="1">
      <alignment vertical="center"/>
    </xf>
    <xf numFmtId="0" fontId="32" fillId="0" borderId="0" xfId="72" applyFont="1" applyAlignment="1">
      <alignment horizontal="center" vertical="center"/>
    </xf>
    <xf numFmtId="0" fontId="8" fillId="0" borderId="0" xfId="73" applyFont="1">
      <alignment vertical="center"/>
    </xf>
    <xf numFmtId="0" fontId="8" fillId="0" borderId="0" xfId="27" applyFont="1" applyAlignment="1">
      <alignment vertical="center" wrapText="1"/>
    </xf>
    <xf numFmtId="0" fontId="40" fillId="0" borderId="0" xfId="27" applyFont="1">
      <alignment vertical="center"/>
    </xf>
    <xf numFmtId="0" fontId="9" fillId="0" borderId="4" xfId="27" applyFont="1" applyBorder="1" applyAlignment="1">
      <alignment horizontal="center" vertical="top" wrapText="1"/>
    </xf>
    <xf numFmtId="0" fontId="19" fillId="0" borderId="4" xfId="27" applyFont="1" applyBorder="1" applyAlignment="1">
      <alignment vertical="center" wrapText="1"/>
    </xf>
    <xf numFmtId="0" fontId="9" fillId="18" borderId="4" xfId="0" applyFont="1" applyFill="1" applyBorder="1" applyAlignment="1">
      <alignment horizontal="center" vertical="center" wrapText="1"/>
    </xf>
    <xf numFmtId="0" fontId="8" fillId="0" borderId="4" xfId="0" applyFont="1" applyBorder="1" applyAlignment="1">
      <alignment horizontal="left" vertical="top"/>
    </xf>
    <xf numFmtId="0" fontId="8" fillId="17" borderId="4" xfId="0" applyFont="1" applyFill="1" applyBorder="1" applyAlignment="1">
      <alignment vertical="top"/>
    </xf>
    <xf numFmtId="0" fontId="43" fillId="0" borderId="0" xfId="0" applyFont="1"/>
    <xf numFmtId="0" fontId="43" fillId="0" borderId="4" xfId="0" applyFont="1" applyBorder="1"/>
    <xf numFmtId="0" fontId="8" fillId="0" borderId="4" xfId="0" applyFont="1" applyBorder="1" applyAlignment="1">
      <alignment horizontal="left"/>
    </xf>
    <xf numFmtId="0" fontId="9" fillId="0" borderId="4" xfId="0" applyFont="1" applyBorder="1" applyAlignment="1">
      <alignment horizontal="left" vertical="top"/>
    </xf>
    <xf numFmtId="0" fontId="8" fillId="0" borderId="0" xfId="0" applyFont="1" applyAlignment="1">
      <alignment horizontal="left"/>
    </xf>
    <xf numFmtId="0" fontId="9" fillId="0" borderId="0" xfId="0" applyFont="1" applyAlignment="1">
      <alignment horizontal="left" vertical="top"/>
    </xf>
    <xf numFmtId="0" fontId="9" fillId="17" borderId="0" xfId="0" applyFont="1" applyFill="1" applyAlignment="1">
      <alignment horizontal="left" vertical="top"/>
    </xf>
    <xf numFmtId="0" fontId="8" fillId="17" borderId="0" xfId="0" applyFont="1" applyFill="1" applyAlignment="1">
      <alignment horizontal="left"/>
    </xf>
    <xf numFmtId="0" fontId="43" fillId="0" borderId="4" xfId="0" applyFont="1" applyBorder="1" applyAlignment="1">
      <alignment vertical="center"/>
    </xf>
    <xf numFmtId="0" fontId="43" fillId="0" borderId="4" xfId="0" applyFont="1" applyBorder="1" applyAlignment="1">
      <alignment horizontal="center" vertical="center"/>
    </xf>
    <xf numFmtId="0" fontId="44" fillId="0" borderId="4" xfId="0" applyFont="1" applyBorder="1" applyAlignment="1">
      <alignment vertical="center"/>
    </xf>
    <xf numFmtId="0" fontId="44" fillId="0" borderId="4" xfId="0" applyFont="1" applyBorder="1" applyAlignment="1">
      <alignment horizontal="center" vertical="center"/>
    </xf>
    <xf numFmtId="164" fontId="10" fillId="0" borderId="4" xfId="74" applyFont="1" applyFill="1" applyBorder="1" applyAlignment="1">
      <alignment vertical="center"/>
    </xf>
    <xf numFmtId="0" fontId="14" fillId="0" borderId="0" xfId="27" applyFont="1" applyAlignment="1">
      <alignment vertical="center" wrapText="1"/>
    </xf>
    <xf numFmtId="43" fontId="8" fillId="8" borderId="4" xfId="75" applyFont="1" applyFill="1" applyBorder="1" applyAlignment="1">
      <alignment horizontal="center"/>
    </xf>
    <xf numFmtId="43" fontId="8" fillId="8" borderId="4" xfId="10" applyNumberFormat="1" applyFont="1" applyFill="1" applyBorder="1" applyAlignment="1">
      <alignment horizontal="left"/>
    </xf>
    <xf numFmtId="43" fontId="8" fillId="0" borderId="4" xfId="75" applyFont="1" applyBorder="1" applyAlignment="1">
      <alignment horizontal="center" vertical="center"/>
    </xf>
    <xf numFmtId="176" fontId="8" fillId="8" borderId="4" xfId="75" applyNumberFormat="1" applyFont="1" applyFill="1" applyBorder="1" applyAlignment="1">
      <alignment horizontal="center"/>
    </xf>
    <xf numFmtId="43" fontId="8" fillId="0" borderId="4" xfId="11" applyNumberFormat="1" applyFont="1" applyBorder="1" applyAlignment="1">
      <alignment vertical="center" wrapText="1"/>
    </xf>
    <xf numFmtId="43" fontId="8" fillId="0" borderId="4" xfId="15" applyNumberFormat="1" applyFont="1" applyBorder="1">
      <alignment vertical="center"/>
    </xf>
    <xf numFmtId="43" fontId="8" fillId="0" borderId="10" xfId="75" applyFont="1" applyBorder="1" applyAlignment="1">
      <alignment horizontal="center" vertical="center" wrapText="1"/>
    </xf>
    <xf numFmtId="43" fontId="9" fillId="7" borderId="12" xfId="11" applyNumberFormat="1" applyFont="1" applyFill="1" applyBorder="1" applyAlignment="1">
      <alignment horizontal="left" vertical="center" wrapText="1"/>
    </xf>
    <xf numFmtId="43" fontId="8" fillId="0" borderId="4" xfId="17" applyNumberFormat="1" applyFont="1" applyBorder="1" applyAlignment="1">
      <alignment horizontal="center" vertical="center"/>
    </xf>
    <xf numFmtId="2" fontId="8" fillId="0" borderId="4" xfId="17" applyNumberFormat="1" applyFont="1" applyBorder="1" applyAlignment="1">
      <alignment horizontal="center" vertical="center"/>
    </xf>
    <xf numFmtId="43" fontId="8" fillId="8" borderId="4" xfId="0" applyNumberFormat="1" applyFont="1" applyFill="1" applyBorder="1" applyAlignment="1">
      <alignment horizontal="left"/>
    </xf>
    <xf numFmtId="43" fontId="8" fillId="8" borderId="4" xfId="75" applyFont="1" applyFill="1" applyBorder="1" applyAlignment="1">
      <alignment horizontal="left"/>
    </xf>
    <xf numFmtId="43" fontId="9" fillId="8" borderId="4" xfId="75" applyFont="1" applyFill="1" applyBorder="1" applyAlignment="1">
      <alignment horizontal="left" vertical="center"/>
    </xf>
    <xf numFmtId="43" fontId="8" fillId="0" borderId="4" xfId="40" applyNumberFormat="1" applyFont="1" applyBorder="1" applyAlignment="1">
      <alignment horizontal="left" vertical="top"/>
    </xf>
    <xf numFmtId="43" fontId="9" fillId="0" borderId="4" xfId="40" applyNumberFormat="1" applyFont="1" applyBorder="1" applyAlignment="1">
      <alignment horizontal="left" vertical="top"/>
    </xf>
    <xf numFmtId="43" fontId="8" fillId="0" borderId="4" xfId="40" applyNumberFormat="1" applyFont="1" applyBorder="1"/>
    <xf numFmtId="43" fontId="8" fillId="0" borderId="4" xfId="75" applyFont="1" applyBorder="1"/>
    <xf numFmtId="43" fontId="8" fillId="0" borderId="4" xfId="75" applyFont="1" applyBorder="1" applyAlignment="1">
      <alignment horizontal="left" vertical="top"/>
    </xf>
    <xf numFmtId="43" fontId="8" fillId="0" borderId="6" xfId="75" applyFont="1" applyBorder="1" applyAlignment="1">
      <alignment horizontal="center" vertical="center"/>
    </xf>
    <xf numFmtId="43" fontId="8" fillId="8" borderId="4" xfId="75" applyFont="1" applyFill="1" applyBorder="1"/>
    <xf numFmtId="43" fontId="8" fillId="0" borderId="4" xfId="75" applyFont="1" applyBorder="1" applyAlignment="1">
      <alignment vertical="top"/>
    </xf>
    <xf numFmtId="43" fontId="8" fillId="0" borderId="9" xfId="75" applyFont="1" applyBorder="1" applyAlignment="1">
      <alignment horizontal="center" vertical="center"/>
    </xf>
    <xf numFmtId="43" fontId="8" fillId="0" borderId="8" xfId="75" applyFont="1" applyBorder="1" applyAlignment="1">
      <alignment horizontal="center" vertical="center"/>
    </xf>
    <xf numFmtId="9" fontId="9" fillId="0" borderId="0" xfId="76" applyFont="1" applyAlignment="1">
      <alignment horizontal="left" vertical="top"/>
    </xf>
    <xf numFmtId="43" fontId="8" fillId="0" borderId="4" xfId="14" applyNumberFormat="1" applyFont="1" applyBorder="1">
      <alignment vertical="center"/>
    </xf>
    <xf numFmtId="0" fontId="14" fillId="0" borderId="0" xfId="16" applyFont="1" applyAlignment="1">
      <alignment horizontal="center" vertical="center"/>
    </xf>
    <xf numFmtId="43" fontId="8" fillId="0" borderId="4" xfId="75" applyFont="1" applyBorder="1" applyAlignment="1">
      <alignment vertical="center"/>
    </xf>
    <xf numFmtId="0" fontId="8" fillId="0" borderId="10" xfId="14" applyFont="1" applyBorder="1">
      <alignment vertical="center"/>
    </xf>
    <xf numFmtId="0" fontId="19" fillId="0" borderId="4" xfId="16" applyFont="1" applyBorder="1" applyAlignment="1">
      <alignment vertical="center" wrapText="1"/>
    </xf>
    <xf numFmtId="43" fontId="8" fillId="5" borderId="4" xfId="75" applyFont="1" applyFill="1" applyBorder="1" applyAlignment="1">
      <alignment horizontal="left"/>
    </xf>
    <xf numFmtId="43" fontId="9" fillId="5" borderId="4" xfId="75" applyFont="1" applyFill="1" applyBorder="1" applyAlignment="1">
      <alignment horizontal="left"/>
    </xf>
    <xf numFmtId="43" fontId="9" fillId="0" borderId="4" xfId="75" applyFont="1" applyBorder="1" applyAlignment="1">
      <alignment vertical="center"/>
    </xf>
    <xf numFmtId="43" fontId="8" fillId="5" borderId="4" xfId="75" applyFont="1" applyFill="1" applyBorder="1" applyAlignment="1">
      <alignment horizontal="center"/>
    </xf>
    <xf numFmtId="43" fontId="8" fillId="5" borderId="4" xfId="75" applyFont="1" applyFill="1" applyBorder="1" applyAlignment="1">
      <alignment vertical="center"/>
    </xf>
    <xf numFmtId="43" fontId="8" fillId="8" borderId="4" xfId="75" applyFont="1" applyFill="1" applyBorder="1" applyAlignment="1">
      <alignment vertical="center"/>
    </xf>
    <xf numFmtId="43" fontId="9" fillId="5" borderId="4" xfId="75" applyFont="1" applyFill="1" applyBorder="1"/>
    <xf numFmtId="10" fontId="8" fillId="5" borderId="4" xfId="10" applyNumberFormat="1" applyFont="1" applyFill="1" applyBorder="1"/>
    <xf numFmtId="43" fontId="8" fillId="5" borderId="4" xfId="75" applyFont="1" applyFill="1" applyBorder="1"/>
    <xf numFmtId="10" fontId="8" fillId="8" borderId="4" xfId="15" applyNumberFormat="1" applyFont="1" applyFill="1" applyBorder="1">
      <alignment vertical="center"/>
    </xf>
    <xf numFmtId="10" fontId="8" fillId="5" borderId="4" xfId="10" applyNumberFormat="1" applyFont="1" applyFill="1" applyBorder="1" applyAlignment="1">
      <alignment horizontal="center"/>
    </xf>
    <xf numFmtId="43" fontId="8" fillId="0" borderId="4" xfId="75" applyFont="1" applyBorder="1" applyAlignment="1">
      <alignment vertical="top" wrapText="1"/>
    </xf>
    <xf numFmtId="43" fontId="8" fillId="5" borderId="4" xfId="75" applyFont="1" applyFill="1" applyBorder="1" applyAlignment="1">
      <alignment horizontal="left" wrapText="1"/>
    </xf>
    <xf numFmtId="43" fontId="9" fillId="4" borderId="4" xfId="75" applyFont="1" applyFill="1" applyBorder="1" applyAlignment="1">
      <alignment horizontal="center" vertical="center"/>
    </xf>
    <xf numFmtId="43" fontId="9" fillId="4" borderId="4" xfId="75" applyFont="1" applyFill="1" applyBorder="1" applyAlignment="1">
      <alignment horizontal="center" vertical="center" wrapText="1"/>
    </xf>
    <xf numFmtId="43" fontId="8" fillId="0" borderId="0" xfId="75" applyFont="1" applyAlignment="1">
      <alignment vertical="center"/>
    </xf>
    <xf numFmtId="43" fontId="9" fillId="0" borderId="0" xfId="75" applyFont="1" applyAlignment="1">
      <alignment horizontal="centerContinuous"/>
    </xf>
    <xf numFmtId="43" fontId="8" fillId="0" borderId="0" xfId="75" applyFont="1"/>
    <xf numFmtId="43" fontId="9" fillId="0" borderId="0" xfId="75" applyFont="1"/>
    <xf numFmtId="43" fontId="9" fillId="18" borderId="4" xfId="75" applyFont="1" applyFill="1" applyBorder="1" applyAlignment="1">
      <alignment horizontal="center" vertical="center" wrapText="1"/>
    </xf>
    <xf numFmtId="43" fontId="9" fillId="0" borderId="4" xfId="75" applyFont="1" applyBorder="1"/>
    <xf numFmtId="43" fontId="8" fillId="0" borderId="4" xfId="75" applyFont="1" applyBorder="1" applyAlignment="1">
      <alignment horizontal="left" vertical="center"/>
    </xf>
    <xf numFmtId="43" fontId="9" fillId="0" borderId="4" xfId="75" applyFont="1" applyBorder="1" applyAlignment="1">
      <alignment horizontal="center" vertical="center"/>
    </xf>
    <xf numFmtId="43" fontId="8" fillId="0" borderId="4" xfId="27" applyNumberFormat="1" applyFont="1" applyBorder="1">
      <alignment vertical="center"/>
    </xf>
    <xf numFmtId="10" fontId="8" fillId="0" borderId="4" xfId="76" applyNumberFormat="1" applyFont="1" applyBorder="1" applyAlignment="1">
      <alignment vertical="center"/>
    </xf>
    <xf numFmtId="10" fontId="8" fillId="0" borderId="4" xfId="76" applyNumberFormat="1" applyFont="1" applyBorder="1" applyAlignment="1">
      <alignment horizontal="center" vertical="center"/>
    </xf>
    <xf numFmtId="10" fontId="8" fillId="0" borderId="4" xfId="15" applyNumberFormat="1" applyFont="1" applyBorder="1" applyAlignment="1">
      <alignment horizontal="center" vertical="center"/>
    </xf>
    <xf numFmtId="10" fontId="8" fillId="0" borderId="4" xfId="15" applyNumberFormat="1" applyFont="1" applyBorder="1">
      <alignment vertical="center"/>
    </xf>
    <xf numFmtId="10" fontId="8" fillId="0" borderId="4" xfId="27" applyNumberFormat="1" applyFont="1" applyBorder="1">
      <alignment vertical="center"/>
    </xf>
    <xf numFmtId="10" fontId="31" fillId="0" borderId="4" xfId="72" applyNumberFormat="1" applyFont="1" applyBorder="1" applyAlignment="1">
      <alignment vertical="center"/>
    </xf>
    <xf numFmtId="10" fontId="32" fillId="0" borderId="4" xfId="76" applyNumberFormat="1" applyFont="1" applyBorder="1" applyAlignment="1">
      <alignment vertical="center"/>
    </xf>
    <xf numFmtId="43" fontId="8" fillId="0" borderId="4" xfId="0" applyNumberFormat="1" applyFont="1" applyBorder="1" applyAlignment="1">
      <alignment vertical="top" wrapText="1"/>
    </xf>
    <xf numFmtId="10" fontId="8" fillId="0" borderId="4" xfId="76" applyNumberFormat="1" applyFont="1" applyBorder="1" applyAlignment="1">
      <alignment vertical="top" wrapText="1"/>
    </xf>
    <xf numFmtId="0" fontId="8" fillId="8" borderId="4" xfId="0" applyFont="1" applyFill="1" applyBorder="1" applyAlignment="1">
      <alignment horizontal="center" wrapText="1"/>
    </xf>
    <xf numFmtId="43" fontId="8" fillId="8" borderId="4" xfId="0" applyNumberFormat="1" applyFont="1" applyFill="1" applyBorder="1" applyAlignment="1">
      <alignment horizontal="center" wrapText="1"/>
    </xf>
    <xf numFmtId="43" fontId="9" fillId="0" borderId="4" xfId="15" applyNumberFormat="1" applyFont="1" applyBorder="1">
      <alignment vertical="center"/>
    </xf>
    <xf numFmtId="43" fontId="8" fillId="5" borderId="4" xfId="75" quotePrefix="1" applyFont="1" applyFill="1" applyBorder="1" applyAlignment="1">
      <alignment horizontal="left" vertical="top" wrapText="1"/>
    </xf>
    <xf numFmtId="10" fontId="31" fillId="8" borderId="4" xfId="76" applyNumberFormat="1" applyFont="1" applyFill="1" applyBorder="1"/>
    <xf numFmtId="164" fontId="9" fillId="0" borderId="4" xfId="15" applyNumberFormat="1" applyFont="1" applyBorder="1">
      <alignment vertical="center"/>
    </xf>
    <xf numFmtId="43" fontId="9" fillId="0" borderId="0" xfId="10" applyNumberFormat="1" applyFont="1"/>
    <xf numFmtId="43" fontId="8" fillId="0" borderId="4" xfId="0" applyNumberFormat="1" applyFont="1" applyBorder="1"/>
    <xf numFmtId="43" fontId="8" fillId="0" borderId="0" xfId="0" applyNumberFormat="1" applyFont="1"/>
    <xf numFmtId="43" fontId="8" fillId="0" borderId="0" xfId="75" applyFont="1" applyAlignment="1">
      <alignment wrapText="1"/>
    </xf>
    <xf numFmtId="43" fontId="8" fillId="0" borderId="0" xfId="0" applyNumberFormat="1" applyFont="1" applyAlignment="1">
      <alignment wrapText="1"/>
    </xf>
    <xf numFmtId="43" fontId="8" fillId="5" borderId="4" xfId="10" applyNumberFormat="1" applyFont="1" applyFill="1" applyBorder="1" applyAlignment="1">
      <alignment horizontal="left"/>
    </xf>
    <xf numFmtId="43" fontId="8" fillId="0" borderId="4" xfId="77" applyFont="1" applyBorder="1" applyAlignment="1">
      <alignment horizontal="center" vertical="center"/>
    </xf>
    <xf numFmtId="9" fontId="8" fillId="0" borderId="4" xfId="30" applyFont="1" applyBorder="1" applyAlignment="1">
      <alignment horizontal="center" vertical="center"/>
    </xf>
    <xf numFmtId="43" fontId="8" fillId="0" borderId="4" xfId="75" applyFont="1" applyBorder="1" applyAlignment="1">
      <alignment horizontal="center" vertical="center" wrapText="1"/>
    </xf>
    <xf numFmtId="0" fontId="9" fillId="9" borderId="4" xfId="40" applyFont="1" applyFill="1" applyBorder="1" applyAlignment="1">
      <alignment horizontal="center" vertical="center"/>
    </xf>
    <xf numFmtId="0" fontId="8" fillId="0" borderId="4" xfId="10" applyFont="1" applyBorder="1" applyAlignment="1">
      <alignment horizontal="center" vertical="top" wrapText="1"/>
    </xf>
    <xf numFmtId="0" fontId="9" fillId="4" borderId="4" xfId="10" applyFont="1" applyFill="1" applyBorder="1" applyAlignment="1">
      <alignment horizontal="center"/>
    </xf>
    <xf numFmtId="43" fontId="8" fillId="5" borderId="4" xfId="0" applyNumberFormat="1" applyFont="1" applyFill="1" applyBorder="1" applyAlignment="1">
      <alignment horizontal="left"/>
    </xf>
    <xf numFmtId="178" fontId="8" fillId="0" borderId="0" xfId="27" applyNumberFormat="1" applyFont="1">
      <alignment vertical="center"/>
    </xf>
    <xf numFmtId="0" fontId="8" fillId="14" borderId="4" xfId="0" applyFont="1" applyFill="1" applyBorder="1"/>
    <xf numFmtId="43" fontId="9" fillId="0" borderId="4" xfId="0" applyNumberFormat="1" applyFont="1" applyBorder="1" applyAlignment="1">
      <alignment horizontal="left" vertical="top"/>
    </xf>
    <xf numFmtId="43" fontId="9" fillId="0" borderId="4" xfId="75" applyFont="1" applyBorder="1" applyAlignment="1">
      <alignment horizontal="left" vertical="top"/>
    </xf>
    <xf numFmtId="43" fontId="8" fillId="0" borderId="4" xfId="0" applyNumberFormat="1" applyFont="1" applyBorder="1" applyAlignment="1">
      <alignment horizontal="left" vertical="top"/>
    </xf>
    <xf numFmtId="43" fontId="8" fillId="0" borderId="0" xfId="40" applyNumberFormat="1" applyFont="1"/>
    <xf numFmtId="43" fontId="8" fillId="0" borderId="4" xfId="40" applyNumberFormat="1" applyFont="1" applyBorder="1" applyAlignment="1">
      <alignment horizontal="left" vertical="center"/>
    </xf>
    <xf numFmtId="0" fontId="9" fillId="0" borderId="4" xfId="40" applyFont="1" applyBorder="1" applyAlignment="1">
      <alignment horizontal="center" vertical="center"/>
    </xf>
    <xf numFmtId="0" fontId="9" fillId="0" borderId="4" xfId="40" applyFont="1" applyBorder="1" applyAlignment="1">
      <alignment horizontal="left" vertical="center"/>
    </xf>
    <xf numFmtId="43" fontId="9" fillId="0" borderId="4" xfId="40" applyNumberFormat="1" applyFont="1" applyBorder="1" applyAlignment="1">
      <alignment horizontal="left" vertical="center"/>
    </xf>
    <xf numFmtId="0" fontId="9" fillId="0" borderId="4" xfId="40" applyFont="1" applyBorder="1" applyAlignment="1">
      <alignment vertical="center"/>
    </xf>
    <xf numFmtId="0" fontId="8" fillId="0" borderId="4" xfId="40" applyFont="1" applyBorder="1" applyAlignment="1">
      <alignment horizontal="center" vertical="center" wrapText="1"/>
    </xf>
    <xf numFmtId="0" fontId="51" fillId="0" borderId="0" xfId="67" applyFont="1"/>
    <xf numFmtId="0" fontId="52" fillId="13" borderId="0" xfId="67" applyFont="1" applyFill="1" applyAlignment="1">
      <alignment horizontal="left"/>
    </xf>
    <xf numFmtId="0" fontId="52" fillId="0" borderId="0" xfId="67" applyFont="1"/>
    <xf numFmtId="0" fontId="52" fillId="14" borderId="4" xfId="67" applyFont="1" applyFill="1" applyBorder="1" applyAlignment="1">
      <alignment vertical="center"/>
    </xf>
    <xf numFmtId="0" fontId="52" fillId="14" borderId="4" xfId="67" applyFont="1" applyFill="1" applyBorder="1" applyAlignment="1">
      <alignment horizontal="center" vertical="center" wrapText="1"/>
    </xf>
    <xf numFmtId="0" fontId="54" fillId="19" borderId="4" xfId="0" applyFont="1" applyFill="1" applyBorder="1" applyAlignment="1">
      <alignment horizontal="center" vertical="center"/>
    </xf>
    <xf numFmtId="0" fontId="52" fillId="14" borderId="4" xfId="67" applyFont="1" applyFill="1" applyBorder="1" applyAlignment="1">
      <alignment horizontal="center" vertical="center"/>
    </xf>
    <xf numFmtId="0" fontId="51" fillId="0" borderId="4" xfId="67" applyFont="1" applyBorder="1"/>
    <xf numFmtId="0" fontId="51" fillId="0" borderId="4" xfId="67" applyFont="1" applyBorder="1" applyAlignment="1">
      <alignment horizontal="left"/>
    </xf>
    <xf numFmtId="174" fontId="51" fillId="0" borderId="4" xfId="68" applyNumberFormat="1" applyFont="1" applyBorder="1"/>
    <xf numFmtId="175" fontId="51" fillId="0" borderId="4" xfId="69" applyNumberFormat="1" applyFont="1" applyBorder="1"/>
    <xf numFmtId="0" fontId="55" fillId="0" borderId="4" xfId="0" applyFont="1" applyBorder="1"/>
    <xf numFmtId="0" fontId="55" fillId="17" borderId="4" xfId="0" applyFont="1" applyFill="1" applyBorder="1"/>
    <xf numFmtId="175" fontId="51" fillId="8" borderId="4" xfId="69" applyNumberFormat="1" applyFont="1" applyFill="1" applyBorder="1"/>
    <xf numFmtId="175" fontId="51" fillId="0" borderId="4" xfId="69" applyNumberFormat="1" applyFont="1" applyFill="1" applyBorder="1"/>
    <xf numFmtId="0" fontId="55" fillId="0" borderId="4" xfId="0" applyFont="1" applyBorder="1" applyAlignment="1">
      <alignment horizontal="left"/>
    </xf>
    <xf numFmtId="0" fontId="55" fillId="20" borderId="4" xfId="0" applyFont="1" applyFill="1" applyBorder="1"/>
    <xf numFmtId="0" fontId="55" fillId="21" borderId="4" xfId="0" applyFont="1" applyFill="1" applyBorder="1"/>
    <xf numFmtId="175" fontId="51" fillId="15" borderId="4" xfId="69" applyNumberFormat="1" applyFont="1" applyFill="1" applyBorder="1"/>
    <xf numFmtId="175" fontId="51" fillId="11" borderId="4" xfId="69" applyNumberFormat="1" applyFont="1" applyFill="1" applyBorder="1"/>
    <xf numFmtId="0" fontId="52" fillId="12" borderId="4" xfId="67" applyFont="1" applyFill="1" applyBorder="1"/>
    <xf numFmtId="0" fontId="52" fillId="12" borderId="4" xfId="67" applyFont="1" applyFill="1" applyBorder="1" applyAlignment="1">
      <alignment horizontal="left"/>
    </xf>
    <xf numFmtId="175" fontId="52" fillId="12" borderId="4" xfId="69" applyNumberFormat="1" applyFont="1" applyFill="1" applyBorder="1"/>
    <xf numFmtId="175" fontId="51" fillId="0" borderId="0" xfId="67" applyNumberFormat="1" applyFont="1"/>
    <xf numFmtId="9" fontId="51" fillId="0" borderId="0" xfId="76" applyFont="1"/>
    <xf numFmtId="0" fontId="52" fillId="14" borderId="4" xfId="67" applyFont="1" applyFill="1" applyBorder="1" applyAlignment="1">
      <alignment vertical="center" wrapText="1"/>
    </xf>
    <xf numFmtId="0" fontId="52" fillId="14" borderId="4" xfId="67" applyFont="1" applyFill="1" applyBorder="1" applyAlignment="1">
      <alignment horizontal="left" vertical="center"/>
    </xf>
    <xf numFmtId="0" fontId="51" fillId="0" borderId="0" xfId="67" applyFont="1" applyAlignment="1">
      <alignment vertical="center" wrapText="1"/>
    </xf>
    <xf numFmtId="0" fontId="52" fillId="0" borderId="0" xfId="67" applyFont="1" applyAlignment="1">
      <alignment vertical="center"/>
    </xf>
    <xf numFmtId="43" fontId="51" fillId="0" borderId="4" xfId="75" applyFont="1" applyBorder="1"/>
    <xf numFmtId="10" fontId="51" fillId="0" borderId="4" xfId="82" applyNumberFormat="1" applyFont="1" applyBorder="1"/>
    <xf numFmtId="43" fontId="51" fillId="15" borderId="4" xfId="80" applyFont="1" applyFill="1" applyBorder="1"/>
    <xf numFmtId="43" fontId="51" fillId="8" borderId="4" xfId="80" applyFont="1" applyFill="1" applyBorder="1"/>
    <xf numFmtId="10" fontId="51" fillId="0" borderId="4" xfId="30" applyNumberFormat="1" applyFont="1" applyFill="1" applyBorder="1" applyAlignment="1">
      <alignment vertical="center"/>
    </xf>
    <xf numFmtId="164" fontId="51" fillId="0" borderId="4" xfId="83" applyFont="1" applyFill="1" applyBorder="1" applyAlignment="1">
      <alignment vertical="center"/>
    </xf>
    <xf numFmtId="43" fontId="51" fillId="11" borderId="4" xfId="80" applyFont="1" applyFill="1" applyBorder="1"/>
    <xf numFmtId="43" fontId="51" fillId="0" borderId="4" xfId="75" applyFont="1" applyFill="1" applyBorder="1"/>
    <xf numFmtId="43" fontId="52" fillId="12" borderId="4" xfId="75" applyFont="1" applyFill="1" applyBorder="1"/>
    <xf numFmtId="10" fontId="52" fillId="12" borderId="4" xfId="76" applyNumberFormat="1" applyFont="1" applyFill="1" applyBorder="1"/>
    <xf numFmtId="0" fontId="51" fillId="0" borderId="0" xfId="67" applyFont="1" applyAlignment="1">
      <alignment vertical="center"/>
    </xf>
    <xf numFmtId="0" fontId="52" fillId="0" borderId="0" xfId="67" applyFont="1" applyAlignment="1">
      <alignment horizontal="left"/>
    </xf>
    <xf numFmtId="175" fontId="52" fillId="0" borderId="0" xfId="69" applyNumberFormat="1" applyFont="1" applyFill="1" applyBorder="1"/>
    <xf numFmtId="0" fontId="51" fillId="0" borderId="0" xfId="67" applyFont="1" applyAlignment="1">
      <alignment horizontal="left"/>
    </xf>
    <xf numFmtId="43" fontId="51" fillId="0" borderId="0" xfId="67" applyNumberFormat="1" applyFont="1"/>
    <xf numFmtId="43" fontId="9" fillId="0" borderId="4" xfId="27" applyNumberFormat="1" applyFont="1" applyBorder="1">
      <alignment vertical="center"/>
    </xf>
    <xf numFmtId="0" fontId="10" fillId="0" borderId="0" xfId="78" applyFont="1"/>
    <xf numFmtId="0" fontId="10" fillId="0" borderId="0" xfId="0" applyFont="1"/>
    <xf numFmtId="0" fontId="41" fillId="14" borderId="4" xfId="78" applyFont="1" applyFill="1" applyBorder="1"/>
    <xf numFmtId="0" fontId="10" fillId="0" borderId="4" xfId="78" applyFont="1" applyBorder="1"/>
    <xf numFmtId="43" fontId="10" fillId="0" borderId="4" xfId="78" applyNumberFormat="1" applyFont="1" applyBorder="1"/>
    <xf numFmtId="0" fontId="41" fillId="0" borderId="4" xfId="78" applyFont="1" applyBorder="1"/>
    <xf numFmtId="43" fontId="10" fillId="0" borderId="0" xfId="78" applyNumberFormat="1" applyFont="1"/>
    <xf numFmtId="43" fontId="41" fillId="0" borderId="4" xfId="77" applyFont="1" applyBorder="1"/>
    <xf numFmtId="43" fontId="10" fillId="0" borderId="4" xfId="77" applyFont="1" applyBorder="1"/>
    <xf numFmtId="43" fontId="10" fillId="0" borderId="4" xfId="77" applyFont="1" applyFill="1" applyBorder="1"/>
    <xf numFmtId="10" fontId="10" fillId="0" borderId="4" xfId="78" applyNumberFormat="1" applyFont="1" applyBorder="1"/>
    <xf numFmtId="0" fontId="10" fillId="0" borderId="4" xfId="78" applyFont="1" applyBorder="1" applyAlignment="1">
      <alignment wrapText="1"/>
    </xf>
    <xf numFmtId="0" fontId="10" fillId="0" borderId="4" xfId="0" applyFont="1" applyBorder="1"/>
    <xf numFmtId="43" fontId="10" fillId="0" borderId="4" xfId="0" applyNumberFormat="1" applyFont="1" applyBorder="1"/>
    <xf numFmtId="0" fontId="9" fillId="23" borderId="4" xfId="78" applyFont="1" applyFill="1" applyBorder="1" applyAlignment="1">
      <alignment horizontal="center" vertical="center"/>
    </xf>
    <xf numFmtId="0" fontId="8" fillId="0" borderId="0" xfId="78" applyFont="1"/>
    <xf numFmtId="0" fontId="8" fillId="0" borderId="4" xfId="78" applyFont="1" applyBorder="1" applyAlignment="1">
      <alignment wrapText="1"/>
    </xf>
    <xf numFmtId="43" fontId="8" fillId="0" borderId="4" xfId="78" applyNumberFormat="1" applyFont="1" applyBorder="1" applyAlignment="1">
      <alignment vertical="center"/>
    </xf>
    <xf numFmtId="43" fontId="10" fillId="0" borderId="4" xfId="77" applyFont="1" applyFill="1" applyBorder="1" applyAlignment="1">
      <alignment vertical="center"/>
    </xf>
    <xf numFmtId="0" fontId="8" fillId="0" borderId="4" xfId="78" applyFont="1" applyBorder="1"/>
    <xf numFmtId="43" fontId="8" fillId="0" borderId="0" xfId="78" applyNumberFormat="1" applyFont="1"/>
    <xf numFmtId="0" fontId="51" fillId="0" borderId="0" xfId="84" applyFont="1"/>
    <xf numFmtId="0" fontId="55" fillId="0" borderId="0" xfId="84" applyFont="1"/>
    <xf numFmtId="0" fontId="52" fillId="0" borderId="0" xfId="84" applyFont="1"/>
    <xf numFmtId="0" fontId="52" fillId="24" borderId="28" xfId="84" applyFont="1" applyFill="1" applyBorder="1" applyAlignment="1">
      <alignment horizontal="center" vertical="center" wrapText="1"/>
    </xf>
    <xf numFmtId="0" fontId="51" fillId="0" borderId="28" xfId="84" applyFont="1" applyBorder="1" applyAlignment="1">
      <alignment vertical="center" wrapText="1"/>
    </xf>
    <xf numFmtId="177" fontId="51" fillId="0" borderId="28" xfId="84" applyNumberFormat="1" applyFont="1" applyBorder="1" applyAlignment="1">
      <alignment vertical="center"/>
    </xf>
    <xf numFmtId="0" fontId="51" fillId="0" borderId="28" xfId="84" applyFont="1" applyBorder="1"/>
    <xf numFmtId="177" fontId="51" fillId="0" borderId="28" xfId="84" applyNumberFormat="1" applyFont="1" applyBorder="1"/>
    <xf numFmtId="43" fontId="51" fillId="0" borderId="28" xfId="84" applyNumberFormat="1" applyFont="1" applyBorder="1"/>
    <xf numFmtId="0" fontId="51" fillId="0" borderId="4" xfId="84" applyFont="1" applyBorder="1"/>
    <xf numFmtId="10" fontId="51" fillId="0" borderId="4" xfId="84" applyNumberFormat="1" applyFont="1" applyBorder="1"/>
    <xf numFmtId="0" fontId="52" fillId="24" borderId="4" xfId="84" applyFont="1" applyFill="1" applyBorder="1" applyAlignment="1">
      <alignment horizontal="center" vertical="center" wrapText="1"/>
    </xf>
    <xf numFmtId="43" fontId="51" fillId="0" borderId="4" xfId="84" applyNumberFormat="1" applyFont="1" applyBorder="1"/>
    <xf numFmtId="0" fontId="9" fillId="0" borderId="26" xfId="40" applyFont="1" applyBorder="1" applyAlignment="1">
      <alignment horizontal="center" vertical="top"/>
    </xf>
    <xf numFmtId="0" fontId="9" fillId="0" borderId="26" xfId="40" applyFont="1" applyBorder="1" applyAlignment="1">
      <alignment vertical="top"/>
    </xf>
    <xf numFmtId="0" fontId="9" fillId="14" borderId="27" xfId="78" applyFont="1" applyFill="1" applyBorder="1" applyAlignment="1">
      <alignment horizontal="center" vertical="center" wrapText="1"/>
    </xf>
    <xf numFmtId="0" fontId="8" fillId="0" borderId="27" xfId="78" applyFont="1" applyBorder="1"/>
    <xf numFmtId="2" fontId="8" fillId="0" borderId="27" xfId="78" applyNumberFormat="1" applyFont="1" applyBorder="1" applyAlignment="1">
      <alignment horizontal="center"/>
    </xf>
    <xf numFmtId="10" fontId="8" fillId="0" borderId="27" xfId="78" applyNumberFormat="1" applyFont="1" applyBorder="1" applyAlignment="1">
      <alignment horizontal="center"/>
    </xf>
    <xf numFmtId="10" fontId="8" fillId="22" borderId="27" xfId="78" applyNumberFormat="1" applyFont="1" applyFill="1" applyBorder="1" applyAlignment="1">
      <alignment horizontal="center"/>
    </xf>
    <xf numFmtId="10" fontId="10" fillId="0" borderId="0" xfId="78" applyNumberFormat="1" applyFont="1"/>
    <xf numFmtId="10" fontId="10" fillId="0" borderId="0" xfId="30" applyNumberFormat="1" applyFont="1"/>
    <xf numFmtId="0" fontId="53" fillId="14" borderId="4" xfId="0" applyFont="1" applyFill="1" applyBorder="1" applyAlignment="1">
      <alignment horizontal="center" vertical="center" wrapText="1"/>
    </xf>
    <xf numFmtId="0" fontId="10" fillId="0" borderId="0" xfId="0" applyFont="1" applyAlignment="1">
      <alignment wrapText="1"/>
    </xf>
    <xf numFmtId="0" fontId="53" fillId="0" borderId="4" xfId="0" applyFont="1" applyBorder="1" applyAlignment="1">
      <alignment horizontal="center" vertical="center" wrapText="1"/>
    </xf>
    <xf numFmtId="0" fontId="31" fillId="0" borderId="4" xfId="0" applyFont="1" applyBorder="1" applyAlignment="1">
      <alignment vertical="center" wrapText="1"/>
    </xf>
    <xf numFmtId="0" fontId="31" fillId="0" borderId="4" xfId="0" applyFont="1" applyBorder="1" applyAlignment="1">
      <alignment horizontal="center" vertical="center" wrapText="1"/>
    </xf>
    <xf numFmtId="0" fontId="31" fillId="0" borderId="4" xfId="0" applyFont="1" applyBorder="1" applyAlignment="1">
      <alignment horizontal="center" vertical="center"/>
    </xf>
    <xf numFmtId="2" fontId="31" fillId="0" borderId="4" xfId="0" applyNumberFormat="1" applyFont="1" applyBorder="1" applyAlignment="1">
      <alignment horizontal="center" vertical="center"/>
    </xf>
    <xf numFmtId="0" fontId="31" fillId="0" borderId="4" xfId="0" applyFont="1" applyBorder="1" applyAlignment="1">
      <alignment horizontal="left" vertical="center" wrapText="1"/>
    </xf>
    <xf numFmtId="0" fontId="32" fillId="0" borderId="4" xfId="0" applyFont="1" applyBorder="1" applyAlignment="1">
      <alignment horizontal="center" vertical="center"/>
    </xf>
    <xf numFmtId="0" fontId="10" fillId="0" borderId="4" xfId="0" applyFont="1" applyBorder="1" applyAlignment="1">
      <alignment vertical="center" wrapText="1"/>
    </xf>
    <xf numFmtId="0" fontId="10" fillId="0" borderId="4" xfId="0" applyFont="1" applyBorder="1" applyAlignment="1">
      <alignment horizontal="center" vertical="center"/>
    </xf>
    <xf numFmtId="43" fontId="10" fillId="0" borderId="4" xfId="75" applyFont="1" applyFill="1" applyBorder="1" applyAlignment="1">
      <alignment horizontal="center" vertical="center"/>
    </xf>
    <xf numFmtId="0" fontId="10" fillId="0" borderId="4" xfId="0" applyFont="1" applyBorder="1" applyAlignment="1">
      <alignment horizontal="left"/>
    </xf>
    <xf numFmtId="43" fontId="31" fillId="0" borderId="4" xfId="75" applyFont="1" applyFill="1" applyBorder="1" applyAlignment="1">
      <alignment horizontal="center" vertical="center"/>
    </xf>
    <xf numFmtId="0" fontId="31" fillId="0" borderId="4" xfId="0" applyFont="1" applyBorder="1" applyAlignment="1">
      <alignment horizontal="left" vertical="center"/>
    </xf>
    <xf numFmtId="0" fontId="10" fillId="0" borderId="4" xfId="0" applyFont="1" applyBorder="1" applyAlignment="1">
      <alignment horizontal="left" vertical="center" wrapText="1"/>
    </xf>
    <xf numFmtId="0" fontId="10" fillId="0" borderId="4" xfId="0" applyFont="1" applyBorder="1" applyAlignment="1">
      <alignment horizontal="left" vertical="center"/>
    </xf>
    <xf numFmtId="2" fontId="10" fillId="0" borderId="4" xfId="0" applyNumberFormat="1" applyFont="1" applyBorder="1" applyAlignment="1">
      <alignment horizontal="center" vertical="center"/>
    </xf>
    <xf numFmtId="0" fontId="10" fillId="0" borderId="4" xfId="0" applyFont="1" applyBorder="1" applyAlignment="1">
      <alignment horizontal="center" vertical="center" wrapText="1"/>
    </xf>
    <xf numFmtId="173" fontId="32" fillId="0" borderId="4" xfId="0" applyNumberFormat="1" applyFont="1" applyBorder="1" applyAlignment="1">
      <alignment horizontal="center" vertical="center"/>
    </xf>
    <xf numFmtId="10" fontId="8" fillId="0" borderId="4" xfId="0" applyNumberFormat="1" applyFont="1" applyBorder="1" applyAlignment="1">
      <alignment horizontal="center" vertical="center"/>
    </xf>
    <xf numFmtId="0" fontId="9" fillId="0" borderId="4" xfId="0" applyFont="1" applyBorder="1" applyAlignment="1">
      <alignment horizontal="center" vertical="center"/>
    </xf>
    <xf numFmtId="0" fontId="41" fillId="4" borderId="12" xfId="27" applyFont="1" applyFill="1" applyBorder="1" applyAlignment="1">
      <alignment horizontal="center" vertical="center" wrapText="1"/>
    </xf>
    <xf numFmtId="9" fontId="8" fillId="0" borderId="4" xfId="0" applyNumberFormat="1" applyFont="1" applyBorder="1" applyAlignment="1">
      <alignment horizontal="center" vertical="center"/>
    </xf>
    <xf numFmtId="10" fontId="8" fillId="0" borderId="4" xfId="40" applyNumberFormat="1" applyFont="1" applyBorder="1" applyAlignment="1">
      <alignment horizontal="center" vertical="center"/>
    </xf>
    <xf numFmtId="0" fontId="13" fillId="0" borderId="0" xfId="0" applyFont="1" applyAlignment="1">
      <alignment horizontal="left"/>
    </xf>
    <xf numFmtId="0" fontId="32" fillId="14" borderId="4" xfId="85" applyFont="1" applyFill="1" applyBorder="1" applyAlignment="1">
      <alignment horizontal="center" vertical="center"/>
    </xf>
    <xf numFmtId="0" fontId="31" fillId="0" borderId="0" xfId="85" applyFont="1" applyAlignment="1">
      <alignment vertical="center"/>
    </xf>
    <xf numFmtId="0" fontId="32" fillId="0" borderId="4" xfId="85" applyFont="1" applyBorder="1" applyAlignment="1">
      <alignment horizontal="center" vertical="center"/>
    </xf>
    <xf numFmtId="0" fontId="32" fillId="0" borderId="4" xfId="85" applyFont="1" applyBorder="1" applyAlignment="1">
      <alignment horizontal="center" vertical="center" wrapText="1"/>
    </xf>
    <xf numFmtId="0" fontId="32" fillId="0" borderId="12" xfId="85" applyFont="1" applyBorder="1" applyAlignment="1">
      <alignment horizontal="center" vertical="center"/>
    </xf>
    <xf numFmtId="0" fontId="31" fillId="0" borderId="0" xfId="85" applyFont="1" applyAlignment="1">
      <alignment horizontal="center" vertical="center"/>
    </xf>
    <xf numFmtId="0" fontId="31" fillId="0" borderId="4" xfId="85" applyFont="1" applyBorder="1" applyAlignment="1">
      <alignment horizontal="center" vertical="center"/>
    </xf>
    <xf numFmtId="4" fontId="31" fillId="0" borderId="4" xfId="85" applyNumberFormat="1" applyFont="1" applyBorder="1" applyAlignment="1">
      <alignment horizontal="center" vertical="center"/>
    </xf>
    <xf numFmtId="0" fontId="8" fillId="0" borderId="12" xfId="85" applyFont="1" applyBorder="1" applyAlignment="1">
      <alignment horizontal="center" vertical="center"/>
    </xf>
    <xf numFmtId="0" fontId="31" fillId="0" borderId="4" xfId="85" applyFont="1" applyBorder="1" applyAlignment="1">
      <alignment vertical="center"/>
    </xf>
    <xf numFmtId="0" fontId="31" fillId="0" borderId="4" xfId="85" applyFont="1" applyBorder="1" applyAlignment="1">
      <alignment vertical="center" wrapText="1"/>
    </xf>
    <xf numFmtId="0" fontId="8" fillId="0" borderId="12" xfId="85" applyFont="1" applyBorder="1" applyAlignment="1">
      <alignment horizontal="center" vertical="center" wrapText="1"/>
    </xf>
    <xf numFmtId="0" fontId="31" fillId="0" borderId="12" xfId="85" applyFont="1" applyBorder="1" applyAlignment="1">
      <alignment horizontal="center" vertical="center"/>
    </xf>
    <xf numFmtId="0" fontId="8" fillId="0" borderId="28" xfId="85" applyFont="1" applyBorder="1" applyAlignment="1">
      <alignment horizontal="center" vertical="center"/>
    </xf>
    <xf numFmtId="0" fontId="32" fillId="0" borderId="28" xfId="85" applyFont="1" applyBorder="1" applyAlignment="1">
      <alignment horizontal="center" vertical="center"/>
    </xf>
    <xf numFmtId="0" fontId="31" fillId="0" borderId="28" xfId="85" applyFont="1" applyBorder="1" applyAlignment="1">
      <alignment horizontal="center" vertical="center"/>
    </xf>
    <xf numFmtId="0" fontId="31" fillId="0" borderId="31" xfId="85" applyFont="1" applyBorder="1" applyAlignment="1">
      <alignment horizontal="center" vertical="center"/>
    </xf>
    <xf numFmtId="4" fontId="8" fillId="0" borderId="32" xfId="85" applyNumberFormat="1" applyFont="1" applyBorder="1" applyAlignment="1">
      <alignment horizontal="center" vertical="center"/>
    </xf>
    <xf numFmtId="0" fontId="31" fillId="0" borderId="33" xfId="85" applyFont="1" applyBorder="1" applyAlignment="1">
      <alignment horizontal="center" vertical="center" wrapText="1"/>
    </xf>
    <xf numFmtId="0" fontId="8" fillId="0" borderId="29" xfId="85" applyFont="1" applyBorder="1" applyAlignment="1">
      <alignment horizontal="center" vertical="center"/>
    </xf>
    <xf numFmtId="0" fontId="32" fillId="0" borderId="28" xfId="85" applyFont="1" applyBorder="1" applyAlignment="1">
      <alignment horizontal="center" vertical="center" wrapText="1"/>
    </xf>
    <xf numFmtId="0" fontId="31" fillId="0" borderId="29" xfId="85" applyFont="1" applyBorder="1" applyAlignment="1">
      <alignment horizontal="center" vertical="center"/>
    </xf>
    <xf numFmtId="4" fontId="9" fillId="0" borderId="34" xfId="85" applyNumberFormat="1" applyFont="1" applyBorder="1" applyAlignment="1">
      <alignment horizontal="center" vertical="center"/>
    </xf>
    <xf numFmtId="4" fontId="8" fillId="0" borderId="34" xfId="85" applyNumberFormat="1" applyFont="1" applyBorder="1" applyAlignment="1">
      <alignment horizontal="center" vertical="center"/>
    </xf>
    <xf numFmtId="0" fontId="32" fillId="0" borderId="29" xfId="85" applyFont="1" applyBorder="1" applyAlignment="1">
      <alignment horizontal="center" vertical="center"/>
    </xf>
    <xf numFmtId="4" fontId="8" fillId="0" borderId="31" xfId="85" applyNumberFormat="1" applyFont="1" applyBorder="1" applyAlignment="1">
      <alignment horizontal="center" vertical="center"/>
    </xf>
    <xf numFmtId="0" fontId="8" fillId="0" borderId="4" xfId="85" applyFont="1" applyBorder="1" applyAlignment="1">
      <alignment horizontal="center" vertical="center"/>
    </xf>
    <xf numFmtId="0" fontId="31" fillId="0" borderId="30" xfId="85" applyFont="1" applyBorder="1" applyAlignment="1">
      <alignment horizontal="center" vertical="center"/>
    </xf>
    <xf numFmtId="0" fontId="31" fillId="0" borderId="4" xfId="85" applyFont="1" applyBorder="1" applyAlignment="1">
      <alignment horizontal="center" vertical="center" wrapText="1"/>
    </xf>
    <xf numFmtId="17" fontId="8" fillId="0" borderId="12" xfId="85" applyNumberFormat="1" applyFont="1" applyBorder="1" applyAlignment="1">
      <alignment horizontal="center" vertical="center"/>
    </xf>
    <xf numFmtId="4" fontId="31" fillId="0" borderId="9" xfId="85" applyNumberFormat="1" applyFont="1" applyBorder="1" applyAlignment="1">
      <alignment horizontal="center" vertical="center"/>
    </xf>
    <xf numFmtId="4" fontId="8" fillId="0" borderId="12" xfId="85" applyNumberFormat="1" applyFont="1" applyBorder="1" applyAlignment="1">
      <alignment horizontal="center" vertical="center"/>
    </xf>
    <xf numFmtId="0" fontId="31" fillId="0" borderId="10" xfId="85" applyFont="1" applyBorder="1" applyAlignment="1">
      <alignment horizontal="center" vertical="center"/>
    </xf>
    <xf numFmtId="4" fontId="9" fillId="0" borderId="4" xfId="85" applyNumberFormat="1" applyFont="1" applyBorder="1" applyAlignment="1">
      <alignment horizontal="center" vertical="center"/>
    </xf>
    <xf numFmtId="0" fontId="31" fillId="0" borderId="37" xfId="85" applyFont="1" applyBorder="1" applyAlignment="1">
      <alignment horizontal="center" vertical="center" wrapText="1"/>
    </xf>
    <xf numFmtId="4" fontId="32" fillId="0" borderId="4" xfId="85" applyNumberFormat="1" applyFont="1" applyBorder="1" applyAlignment="1">
      <alignment horizontal="center" vertical="center"/>
    </xf>
    <xf numFmtId="0" fontId="31" fillId="0" borderId="12" xfId="85" applyFont="1" applyBorder="1" applyAlignment="1">
      <alignment horizontal="center" vertical="center" wrapText="1"/>
    </xf>
    <xf numFmtId="4" fontId="31" fillId="0" borderId="4" xfId="85" applyNumberFormat="1" applyFont="1" applyBorder="1" applyAlignment="1">
      <alignment vertical="center"/>
    </xf>
    <xf numFmtId="2" fontId="31" fillId="0" borderId="0" xfId="85" applyNumberFormat="1" applyFont="1" applyAlignment="1">
      <alignment horizontal="center" vertical="center"/>
    </xf>
    <xf numFmtId="0" fontId="8" fillId="8" borderId="4" xfId="40" applyFont="1" applyFill="1" applyBorder="1" applyAlignment="1">
      <alignment horizontal="left"/>
    </xf>
    <xf numFmtId="0" fontId="10" fillId="0" borderId="4" xfId="10" applyFont="1" applyBorder="1"/>
    <xf numFmtId="2" fontId="8" fillId="8" borderId="4" xfId="0" applyNumberFormat="1" applyFont="1" applyFill="1" applyBorder="1" applyAlignment="1">
      <alignment horizontal="center" wrapText="1"/>
    </xf>
    <xf numFmtId="0" fontId="19" fillId="0" borderId="4" xfId="73" applyFont="1" applyBorder="1" applyAlignment="1">
      <alignment horizontal="center" vertical="center"/>
    </xf>
    <xf numFmtId="0" fontId="19" fillId="0" borderId="4" xfId="73" applyFont="1" applyBorder="1" applyAlignment="1">
      <alignment vertical="center" wrapText="1"/>
    </xf>
    <xf numFmtId="43" fontId="19" fillId="0" borderId="4" xfId="77" applyFont="1" applyBorder="1" applyAlignment="1">
      <alignment vertical="center" wrapText="1"/>
    </xf>
    <xf numFmtId="164" fontId="19" fillId="0" borderId="4" xfId="77" applyNumberFormat="1" applyFont="1" applyFill="1" applyBorder="1" applyAlignment="1">
      <alignment horizontal="center" vertical="center"/>
    </xf>
    <xf numFmtId="0" fontId="19" fillId="0" borderId="0" xfId="0" applyFont="1" applyAlignment="1">
      <alignment horizontal="center" vertical="center"/>
    </xf>
    <xf numFmtId="0" fontId="41" fillId="4" borderId="12" xfId="27" applyFont="1" applyFill="1" applyBorder="1" applyAlignment="1">
      <alignment vertical="center" wrapText="1"/>
    </xf>
    <xf numFmtId="0" fontId="10" fillId="0" borderId="4" xfId="0" applyFont="1" applyBorder="1" applyAlignment="1">
      <alignment wrapText="1"/>
    </xf>
    <xf numFmtId="0" fontId="56" fillId="0" borderId="0" xfId="0" applyFont="1"/>
    <xf numFmtId="0" fontId="10" fillId="0" borderId="0" xfId="0" applyFont="1" applyAlignment="1">
      <alignment horizontal="center" vertical="center"/>
    </xf>
    <xf numFmtId="174" fontId="10" fillId="0" borderId="4" xfId="37" applyNumberFormat="1" applyFont="1" applyFill="1" applyBorder="1" applyAlignment="1">
      <alignment horizontal="left"/>
    </xf>
    <xf numFmtId="174" fontId="10" fillId="0" borderId="4" xfId="37" applyNumberFormat="1" applyFont="1" applyFill="1" applyBorder="1"/>
    <xf numFmtId="43" fontId="41" fillId="9" borderId="4" xfId="77" applyFont="1" applyFill="1" applyBorder="1" applyAlignment="1">
      <alignment horizontal="center" vertical="center"/>
    </xf>
    <xf numFmtId="0" fontId="41" fillId="9" borderId="4" xfId="78" applyFont="1" applyFill="1" applyBorder="1" applyAlignment="1">
      <alignment horizontal="center" vertical="center"/>
    </xf>
    <xf numFmtId="0" fontId="56" fillId="0" borderId="4" xfId="78" applyFont="1" applyBorder="1"/>
    <xf numFmtId="0" fontId="57" fillId="0" borderId="4" xfId="78" applyFont="1" applyBorder="1" applyAlignment="1">
      <alignment horizontal="left" indent="1"/>
    </xf>
    <xf numFmtId="43" fontId="10" fillId="0" borderId="4" xfId="75" applyFont="1" applyBorder="1"/>
    <xf numFmtId="0" fontId="57" fillId="0" borderId="4" xfId="0" applyFont="1" applyBorder="1" applyAlignment="1">
      <alignment horizontal="left" indent="1"/>
    </xf>
    <xf numFmtId="43" fontId="10" fillId="0" borderId="0" xfId="77" applyFont="1"/>
    <xf numFmtId="0" fontId="41" fillId="23" borderId="4" xfId="78" applyFont="1" applyFill="1" applyBorder="1" applyAlignment="1">
      <alignment horizontal="center"/>
    </xf>
    <xf numFmtId="14" fontId="10" fillId="0" borderId="4" xfId="78" applyNumberFormat="1" applyFont="1" applyBorder="1"/>
    <xf numFmtId="10" fontId="10" fillId="0" borderId="4" xfId="76" applyNumberFormat="1" applyFont="1" applyBorder="1"/>
    <xf numFmtId="14" fontId="41" fillId="0" borderId="4" xfId="78" applyNumberFormat="1" applyFont="1" applyBorder="1"/>
    <xf numFmtId="10" fontId="41" fillId="0" borderId="4" xfId="78" applyNumberFormat="1" applyFont="1" applyBorder="1"/>
    <xf numFmtId="0" fontId="9" fillId="23" borderId="4" xfId="78" applyFont="1" applyFill="1" applyBorder="1" applyAlignment="1">
      <alignment horizontal="center" vertical="center" wrapText="1"/>
    </xf>
    <xf numFmtId="0" fontId="8" fillId="0" borderId="4" xfId="78" applyFont="1" applyBorder="1" applyAlignment="1">
      <alignment vertical="center"/>
    </xf>
    <xf numFmtId="2" fontId="8" fillId="0" borderId="4" xfId="78" applyNumberFormat="1" applyFont="1" applyBorder="1" applyAlignment="1">
      <alignment horizontal="center" vertical="center"/>
    </xf>
    <xf numFmtId="2" fontId="8" fillId="0" borderId="4" xfId="78" applyNumberFormat="1" applyFont="1" applyBorder="1" applyAlignment="1">
      <alignment horizontal="center"/>
    </xf>
    <xf numFmtId="2" fontId="8" fillId="0" borderId="0" xfId="78" applyNumberFormat="1" applyFont="1"/>
    <xf numFmtId="2" fontId="9" fillId="0" borderId="4" xfId="78" applyNumberFormat="1" applyFont="1" applyBorder="1" applyAlignment="1">
      <alignment horizontal="center" vertical="center"/>
    </xf>
    <xf numFmtId="10" fontId="8" fillId="0" borderId="0" xfId="76" applyNumberFormat="1" applyFont="1"/>
    <xf numFmtId="0" fontId="31" fillId="0" borderId="4" xfId="0" applyFont="1" applyBorder="1" applyAlignment="1">
      <alignment horizontal="justify" vertical="center"/>
    </xf>
    <xf numFmtId="43" fontId="49" fillId="0" borderId="4" xfId="88" applyFont="1" applyBorder="1" applyAlignment="1">
      <alignment horizontal="center" vertical="center"/>
    </xf>
    <xf numFmtId="0" fontId="32" fillId="0" borderId="4" xfId="0" applyFont="1" applyBorder="1" applyAlignment="1">
      <alignment horizontal="center" vertical="center" wrapText="1"/>
    </xf>
    <xf numFmtId="0" fontId="10" fillId="0" borderId="0" xfId="0" applyFont="1" applyAlignment="1">
      <alignment horizontal="center" vertical="center" wrapText="1"/>
    </xf>
    <xf numFmtId="168" fontId="10" fillId="0" borderId="4" xfId="0" applyNumberFormat="1" applyFont="1" applyBorder="1"/>
    <xf numFmtId="174" fontId="8" fillId="0" borderId="4" xfId="75" applyNumberFormat="1" applyFont="1" applyBorder="1"/>
    <xf numFmtId="174" fontId="10" fillId="0" borderId="4" xfId="75" applyNumberFormat="1" applyFont="1" applyBorder="1"/>
    <xf numFmtId="0" fontId="32" fillId="0" borderId="4" xfId="0" applyFont="1" applyBorder="1"/>
    <xf numFmtId="174" fontId="9" fillId="0" borderId="4" xfId="75" applyNumberFormat="1" applyFont="1" applyBorder="1"/>
    <xf numFmtId="174" fontId="32" fillId="0" borderId="4" xfId="75" applyNumberFormat="1" applyFont="1" applyBorder="1"/>
    <xf numFmtId="168" fontId="10" fillId="0" borderId="4" xfId="0" applyNumberFormat="1" applyFont="1" applyBorder="1" applyAlignment="1">
      <alignment horizontal="center"/>
    </xf>
    <xf numFmtId="176" fontId="10" fillId="0" borderId="4" xfId="75" applyNumberFormat="1" applyFont="1" applyBorder="1"/>
    <xf numFmtId="176" fontId="32" fillId="0" borderId="4" xfId="75" applyNumberFormat="1" applyFont="1" applyBorder="1"/>
    <xf numFmtId="0" fontId="41" fillId="14" borderId="4" xfId="78" applyFont="1" applyFill="1" applyBorder="1" applyAlignment="1">
      <alignment horizontal="center" vertical="center"/>
    </xf>
    <xf numFmtId="43" fontId="10" fillId="0" borderId="4" xfId="77" applyFont="1" applyBorder="1" applyAlignment="1">
      <alignment horizontal="center" vertical="center"/>
    </xf>
    <xf numFmtId="43" fontId="41" fillId="0" borderId="4" xfId="77" applyFont="1" applyBorder="1" applyAlignment="1">
      <alignment horizontal="center" vertical="center"/>
    </xf>
    <xf numFmtId="10" fontId="8" fillId="0" borderId="28" xfId="0" applyNumberFormat="1" applyFont="1" applyBorder="1" applyAlignment="1">
      <alignment vertical="center"/>
    </xf>
    <xf numFmtId="164" fontId="9" fillId="0" borderId="28" xfId="0" applyNumberFormat="1" applyFont="1" applyBorder="1" applyAlignment="1">
      <alignment horizontal="center" vertical="center"/>
    </xf>
    <xf numFmtId="164" fontId="9" fillId="25" borderId="30" xfId="0" applyNumberFormat="1" applyFont="1" applyFill="1" applyBorder="1" applyAlignment="1">
      <alignment horizontal="center" vertical="center"/>
    </xf>
    <xf numFmtId="164" fontId="9" fillId="25" borderId="28" xfId="0" applyNumberFormat="1" applyFont="1" applyFill="1" applyBorder="1" applyAlignment="1">
      <alignment horizontal="center" vertical="center"/>
    </xf>
    <xf numFmtId="164" fontId="19" fillId="0" borderId="4" xfId="75" applyNumberFormat="1" applyFont="1" applyBorder="1" applyAlignment="1">
      <alignment horizontal="center" vertical="center"/>
    </xf>
    <xf numFmtId="164" fontId="8" fillId="0" borderId="4" xfId="75" applyNumberFormat="1" applyFont="1" applyBorder="1" applyAlignment="1">
      <alignment vertical="center"/>
    </xf>
    <xf numFmtId="164" fontId="19" fillId="0" borderId="4" xfId="75" applyNumberFormat="1" applyFont="1" applyBorder="1" applyAlignment="1">
      <alignment vertical="center"/>
    </xf>
    <xf numFmtId="164" fontId="8" fillId="11" borderId="4" xfId="75" applyNumberFormat="1" applyFont="1" applyFill="1" applyBorder="1" applyAlignment="1">
      <alignment vertical="center"/>
    </xf>
    <xf numFmtId="164" fontId="14" fillId="0" borderId="4" xfId="75" applyNumberFormat="1" applyFont="1" applyBorder="1" applyAlignment="1">
      <alignment vertical="center"/>
    </xf>
    <xf numFmtId="164" fontId="14" fillId="0" borderId="4" xfId="75" applyNumberFormat="1" applyFont="1" applyBorder="1" applyAlignment="1">
      <alignment horizontal="center" vertical="center"/>
    </xf>
    <xf numFmtId="164" fontId="10" fillId="0" borderId="4" xfId="78" applyNumberFormat="1" applyFont="1" applyBorder="1"/>
    <xf numFmtId="164" fontId="41" fillId="0" borderId="4" xfId="78" applyNumberFormat="1" applyFont="1" applyBorder="1"/>
    <xf numFmtId="43" fontId="8" fillId="0" borderId="4" xfId="40" applyNumberFormat="1" applyFont="1" applyBorder="1" applyAlignment="1">
      <alignment horizontal="center" vertical="center" wrapText="1"/>
    </xf>
    <xf numFmtId="43" fontId="51" fillId="0" borderId="28" xfId="84" applyNumberFormat="1" applyFont="1" applyBorder="1" applyAlignment="1">
      <alignment horizontal="center" vertical="center" wrapText="1"/>
    </xf>
    <xf numFmtId="10" fontId="51" fillId="0" borderId="0" xfId="84" applyNumberFormat="1" applyFont="1"/>
    <xf numFmtId="43" fontId="51" fillId="0" borderId="4" xfId="89" applyFont="1" applyBorder="1"/>
    <xf numFmtId="43" fontId="51" fillId="0" borderId="0" xfId="84" applyNumberFormat="1" applyFont="1"/>
    <xf numFmtId="0" fontId="51" fillId="0" borderId="0" xfId="84" applyFont="1" applyAlignment="1">
      <alignment wrapText="1"/>
    </xf>
    <xf numFmtId="0" fontId="55" fillId="0" borderId="0" xfId="84" applyFont="1" applyAlignment="1">
      <alignment wrapText="1"/>
    </xf>
    <xf numFmtId="10" fontId="51" fillId="0" borderId="4" xfId="84" applyNumberFormat="1" applyFont="1" applyBorder="1" applyAlignment="1">
      <alignment horizontal="center" vertical="center" wrapText="1"/>
    </xf>
    <xf numFmtId="0" fontId="51" fillId="0" borderId="4" xfId="84" applyFont="1" applyBorder="1" applyAlignment="1">
      <alignment wrapText="1"/>
    </xf>
    <xf numFmtId="0" fontId="55" fillId="0" borderId="0" xfId="84" applyFont="1" applyAlignment="1">
      <alignment vertical="center" wrapText="1"/>
    </xf>
    <xf numFmtId="10" fontId="51" fillId="0" borderId="4" xfId="30" applyNumberFormat="1" applyFont="1" applyBorder="1" applyAlignment="1">
      <alignment horizontal="center" vertical="center" wrapText="1"/>
    </xf>
    <xf numFmtId="43" fontId="52" fillId="0" borderId="4" xfId="84" applyNumberFormat="1" applyFont="1" applyBorder="1"/>
    <xf numFmtId="0" fontId="51" fillId="0" borderId="4" xfId="84" applyFont="1" applyBorder="1" applyAlignment="1">
      <alignment vertical="center" wrapText="1"/>
    </xf>
    <xf numFmtId="177" fontId="51" fillId="0" borderId="4" xfId="84" applyNumberFormat="1" applyFont="1" applyBorder="1" applyAlignment="1">
      <alignment vertical="center"/>
    </xf>
    <xf numFmtId="43" fontId="51" fillId="0" borderId="4" xfId="84" applyNumberFormat="1" applyFont="1" applyBorder="1" applyAlignment="1">
      <alignment vertical="center" wrapText="1"/>
    </xf>
    <xf numFmtId="10" fontId="51" fillId="0" borderId="4" xfId="84" applyNumberFormat="1" applyFont="1" applyBorder="1" applyAlignment="1">
      <alignment vertical="center"/>
    </xf>
    <xf numFmtId="43" fontId="51" fillId="0" borderId="4" xfId="84" applyNumberFormat="1" applyFont="1" applyBorder="1" applyAlignment="1">
      <alignment horizontal="center" vertical="center" wrapText="1"/>
    </xf>
    <xf numFmtId="177" fontId="51" fillId="0" borderId="4" xfId="84" applyNumberFormat="1" applyFont="1" applyBorder="1"/>
    <xf numFmtId="43" fontId="51" fillId="0" borderId="4" xfId="84" applyNumberFormat="1" applyFont="1" applyBorder="1" applyAlignment="1">
      <alignment wrapText="1"/>
    </xf>
    <xf numFmtId="43" fontId="51" fillId="0" borderId="4" xfId="77" applyFont="1" applyBorder="1"/>
    <xf numFmtId="10" fontId="51" fillId="22" borderId="4" xfId="84" applyNumberFormat="1" applyFont="1" applyFill="1" applyBorder="1"/>
    <xf numFmtId="0" fontId="0" fillId="0" borderId="4" xfId="0" applyBorder="1" applyAlignment="1">
      <alignment wrapText="1"/>
    </xf>
    <xf numFmtId="0" fontId="8" fillId="0" borderId="4" xfId="85" applyFont="1" applyBorder="1" applyAlignment="1">
      <alignment horizontal="center" vertical="center" wrapText="1"/>
    </xf>
    <xf numFmtId="177" fontId="51" fillId="0" borderId="29" xfId="84" applyNumberFormat="1" applyFont="1" applyBorder="1"/>
    <xf numFmtId="0" fontId="55" fillId="0" borderId="4" xfId="84" applyFont="1" applyBorder="1"/>
    <xf numFmtId="43" fontId="8" fillId="0" borderId="0" xfId="15" applyNumberFormat="1" applyFont="1">
      <alignment vertical="center"/>
    </xf>
    <xf numFmtId="43" fontId="8" fillId="0" borderId="4" xfId="77" applyFont="1" applyFill="1" applyBorder="1" applyAlignment="1">
      <alignment vertical="center"/>
    </xf>
    <xf numFmtId="0" fontId="8" fillId="0" borderId="4" xfId="0" applyFont="1" applyBorder="1" applyAlignment="1">
      <alignment wrapText="1"/>
    </xf>
    <xf numFmtId="179" fontId="10" fillId="0" borderId="4" xfId="75" applyNumberFormat="1" applyFont="1" applyFill="1" applyBorder="1" applyAlignment="1">
      <alignment horizontal="center" vertical="center"/>
    </xf>
    <xf numFmtId="0" fontId="1" fillId="0" borderId="4" xfId="94" applyBorder="1" applyAlignment="1">
      <alignment horizontal="center" vertical="center"/>
    </xf>
    <xf numFmtId="9" fontId="10" fillId="0" borderId="4" xfId="0" applyNumberFormat="1" applyFont="1" applyBorder="1"/>
    <xf numFmtId="10" fontId="10" fillId="0" borderId="4" xfId="0" applyNumberFormat="1" applyFont="1" applyBorder="1"/>
    <xf numFmtId="10" fontId="10" fillId="0" borderId="4" xfId="30" applyNumberFormat="1" applyFont="1" applyFill="1" applyBorder="1"/>
    <xf numFmtId="0" fontId="57" fillId="0" borderId="4" xfId="78" applyFont="1" applyBorder="1" applyAlignment="1">
      <alignment horizontal="left" wrapText="1" indent="1"/>
    </xf>
    <xf numFmtId="43" fontId="9" fillId="0" borderId="4" xfId="75" applyFont="1" applyFill="1" applyBorder="1"/>
    <xf numFmtId="43" fontId="8" fillId="0" borderId="4" xfId="75" quotePrefix="1" applyFont="1" applyFill="1" applyBorder="1" applyAlignment="1">
      <alignment horizontal="left" vertical="top" wrapText="1"/>
    </xf>
    <xf numFmtId="43" fontId="9" fillId="0" borderId="4" xfId="75" applyFont="1" applyFill="1" applyBorder="1" applyAlignment="1">
      <alignment horizontal="left"/>
    </xf>
    <xf numFmtId="43" fontId="8" fillId="0" borderId="4" xfId="75" applyFont="1" applyFill="1" applyBorder="1"/>
    <xf numFmtId="43" fontId="8" fillId="0" borderId="4" xfId="75" applyFont="1" applyFill="1" applyBorder="1" applyAlignment="1">
      <alignment vertical="center"/>
    </xf>
    <xf numFmtId="43" fontId="0" fillId="0" borderId="4" xfId="0" applyNumberFormat="1" applyBorder="1"/>
    <xf numFmtId="43" fontId="0" fillId="0" borderId="4" xfId="75" applyFont="1" applyBorder="1"/>
    <xf numFmtId="10" fontId="0" fillId="0" borderId="4" xfId="0" applyNumberFormat="1" applyBorder="1"/>
    <xf numFmtId="10" fontId="9" fillId="0" borderId="0" xfId="76" applyNumberFormat="1" applyFont="1" applyAlignment="1">
      <alignment horizontal="left" vertical="top"/>
    </xf>
    <xf numFmtId="10" fontId="0" fillId="0" borderId="0" xfId="76" applyNumberFormat="1" applyFont="1"/>
    <xf numFmtId="2" fontId="8" fillId="5" borderId="4" xfId="10" applyNumberFormat="1" applyFont="1" applyFill="1" applyBorder="1"/>
    <xf numFmtId="2" fontId="8" fillId="5" borderId="4" xfId="15" applyNumberFormat="1" applyFont="1" applyFill="1" applyBorder="1">
      <alignment vertical="center"/>
    </xf>
    <xf numFmtId="0" fontId="10" fillId="0" borderId="0" xfId="78" applyFont="1" applyAlignment="1">
      <alignment wrapText="1"/>
    </xf>
    <xf numFmtId="0" fontId="41" fillId="14" borderId="4" xfId="78" applyFont="1" applyFill="1" applyBorder="1" applyAlignment="1">
      <alignment wrapText="1"/>
    </xf>
    <xf numFmtId="0" fontId="41" fillId="0" borderId="4" xfId="78" applyFont="1" applyBorder="1" applyAlignment="1">
      <alignment wrapText="1"/>
    </xf>
    <xf numFmtId="0" fontId="41" fillId="14" borderId="4" xfId="78" applyFont="1" applyFill="1" applyBorder="1" applyAlignment="1">
      <alignment horizontal="center" vertical="center" wrapText="1"/>
    </xf>
    <xf numFmtId="0" fontId="41" fillId="14" borderId="12" xfId="78" applyFont="1" applyFill="1" applyBorder="1" applyAlignment="1">
      <alignment horizontal="center" vertical="center" wrapText="1"/>
    </xf>
    <xf numFmtId="0" fontId="8" fillId="0" borderId="31" xfId="0" applyFont="1" applyBorder="1" applyAlignment="1">
      <alignment wrapText="1"/>
    </xf>
    <xf numFmtId="0" fontId="10" fillId="0" borderId="33" xfId="0" applyFont="1" applyBorder="1" applyAlignment="1">
      <alignment wrapText="1"/>
    </xf>
    <xf numFmtId="0" fontId="8" fillId="0" borderId="4" xfId="10" applyFont="1" applyBorder="1" applyAlignment="1">
      <alignment horizontal="center" vertical="center"/>
    </xf>
    <xf numFmtId="0" fontId="60" fillId="0" borderId="0" xfId="0" applyFont="1" applyAlignment="1">
      <alignment wrapText="1"/>
    </xf>
    <xf numFmtId="0" fontId="8" fillId="0" borderId="4" xfId="10" applyFont="1" applyBorder="1" applyAlignment="1">
      <alignment vertical="center"/>
    </xf>
    <xf numFmtId="0" fontId="62" fillId="0" borderId="4" xfId="10" applyFont="1" applyBorder="1" applyAlignment="1">
      <alignment vertical="center"/>
    </xf>
    <xf numFmtId="0" fontId="8" fillId="0" borderId="4" xfId="10" applyFont="1" applyBorder="1" applyAlignment="1">
      <alignment vertical="center" wrapText="1"/>
    </xf>
    <xf numFmtId="14" fontId="8" fillId="0" borderId="4" xfId="10" applyNumberFormat="1" applyFont="1" applyBorder="1" applyAlignment="1">
      <alignment vertical="center"/>
    </xf>
    <xf numFmtId="0" fontId="8" fillId="0" borderId="4" xfId="10" applyFont="1" applyBorder="1" applyAlignment="1">
      <alignment vertical="center" textRotation="50" wrapText="1"/>
    </xf>
    <xf numFmtId="0" fontId="63" fillId="0" borderId="4" xfId="0" applyFont="1" applyBorder="1" applyAlignment="1">
      <alignment horizontal="left" vertical="center" wrapText="1" indent="1"/>
    </xf>
    <xf numFmtId="0" fontId="8" fillId="22" borderId="4" xfId="10" applyFont="1" applyFill="1" applyBorder="1" applyAlignment="1">
      <alignment horizontal="center" vertical="center"/>
    </xf>
    <xf numFmtId="0" fontId="61" fillId="0" borderId="4" xfId="0" applyFont="1" applyBorder="1" applyAlignment="1">
      <alignment horizontal="center" vertical="center"/>
    </xf>
    <xf numFmtId="0" fontId="9" fillId="0" borderId="4" xfId="10" applyFont="1" applyBorder="1" applyAlignment="1">
      <alignment vertical="center"/>
    </xf>
    <xf numFmtId="0" fontId="9" fillId="0" borderId="4" xfId="10" applyFont="1" applyBorder="1" applyAlignment="1">
      <alignment horizontal="center" vertical="center"/>
    </xf>
    <xf numFmtId="173" fontId="61" fillId="0" borderId="4" xfId="0" applyNumberFormat="1" applyFont="1" applyBorder="1" applyAlignment="1">
      <alignment horizontal="center" vertical="center"/>
    </xf>
    <xf numFmtId="173" fontId="9" fillId="10" borderId="4" xfId="10" applyNumberFormat="1" applyFont="1" applyFill="1" applyBorder="1" applyAlignment="1">
      <alignment horizontal="center"/>
    </xf>
    <xf numFmtId="0" fontId="62" fillId="0" borderId="4" xfId="10" applyFont="1" applyBorder="1" applyAlignment="1">
      <alignment horizontal="left" indent="1"/>
    </xf>
    <xf numFmtId="14" fontId="8" fillId="0" borderId="4" xfId="10" applyNumberFormat="1" applyFont="1" applyBorder="1" applyAlignment="1">
      <alignment vertical="center" wrapText="1"/>
    </xf>
    <xf numFmtId="179" fontId="8" fillId="0" borderId="4" xfId="75" applyNumberFormat="1" applyFont="1" applyBorder="1" applyAlignment="1">
      <alignment vertical="center" wrapText="1"/>
    </xf>
    <xf numFmtId="10" fontId="8" fillId="0" borderId="4" xfId="10" applyNumberFormat="1" applyFont="1" applyBorder="1" applyAlignment="1">
      <alignment vertical="center" wrapText="1"/>
    </xf>
    <xf numFmtId="179" fontId="9" fillId="10" borderId="4" xfId="10" applyNumberFormat="1" applyFont="1" applyFill="1" applyBorder="1"/>
    <xf numFmtId="14" fontId="8" fillId="0" borderId="4" xfId="75" applyNumberFormat="1" applyFont="1" applyBorder="1" applyAlignment="1">
      <alignment vertical="center"/>
    </xf>
    <xf numFmtId="0" fontId="8" fillId="0" borderId="4" xfId="75" applyNumberFormat="1" applyFont="1" applyBorder="1" applyAlignment="1">
      <alignment horizontal="center" vertical="center"/>
    </xf>
    <xf numFmtId="46" fontId="8" fillId="0" borderId="4" xfId="75" quotePrefix="1" applyNumberFormat="1" applyFont="1" applyBorder="1" applyAlignment="1">
      <alignment horizontal="center" vertical="center"/>
    </xf>
    <xf numFmtId="9" fontId="8" fillId="0" borderId="4" xfId="75" applyNumberFormat="1" applyFont="1" applyBorder="1" applyAlignment="1">
      <alignment vertical="center"/>
    </xf>
    <xf numFmtId="179" fontId="8" fillId="0" borderId="4" xfId="75" applyNumberFormat="1" applyFont="1" applyBorder="1" applyAlignment="1">
      <alignment vertical="center"/>
    </xf>
    <xf numFmtId="43" fontId="9" fillId="0" borderId="4" xfId="75" applyFont="1" applyBorder="1" applyAlignment="1">
      <alignment vertical="center" textRotation="45"/>
    </xf>
    <xf numFmtId="14" fontId="8" fillId="0" borderId="4" xfId="75" applyNumberFormat="1" applyFont="1" applyBorder="1" applyAlignment="1">
      <alignment horizontal="center" vertical="center"/>
    </xf>
    <xf numFmtId="43" fontId="9" fillId="10" borderId="4" xfId="10" applyNumberFormat="1" applyFont="1" applyFill="1" applyBorder="1"/>
    <xf numFmtId="0" fontId="8" fillId="0" borderId="0" xfId="14" applyFont="1" applyAlignment="1">
      <alignment vertical="center" wrapText="1"/>
    </xf>
    <xf numFmtId="0" fontId="14" fillId="0" borderId="4" xfId="16" applyFont="1" applyBorder="1" applyAlignment="1">
      <alignment vertical="center" wrapText="1"/>
    </xf>
    <xf numFmtId="0" fontId="14" fillId="0" borderId="0" xfId="16" applyFont="1" applyAlignment="1">
      <alignment vertical="center" wrapText="1"/>
    </xf>
    <xf numFmtId="0" fontId="9" fillId="0" borderId="10" xfId="0" applyFont="1" applyBorder="1" applyAlignment="1">
      <alignment horizontal="left" vertical="center" wrapText="1"/>
    </xf>
    <xf numFmtId="0" fontId="9" fillId="8" borderId="4" xfId="0" applyFont="1" applyFill="1" applyBorder="1" applyAlignment="1">
      <alignment horizontal="left" vertical="center"/>
    </xf>
    <xf numFmtId="43" fontId="8" fillId="8" borderId="4" xfId="0" applyNumberFormat="1" applyFont="1" applyFill="1" applyBorder="1" applyAlignment="1">
      <alignment horizontal="left" vertical="center"/>
    </xf>
    <xf numFmtId="0" fontId="8" fillId="0" borderId="4" xfId="0" applyFont="1" applyBorder="1" applyAlignment="1">
      <alignment vertical="center"/>
    </xf>
    <xf numFmtId="0" fontId="9" fillId="0" borderId="0" xfId="0" applyFont="1" applyAlignment="1">
      <alignment vertical="center"/>
    </xf>
    <xf numFmtId="0" fontId="8" fillId="0" borderId="0" xfId="10" applyFont="1" applyAlignment="1">
      <alignment wrapText="1"/>
    </xf>
    <xf numFmtId="0" fontId="9" fillId="0" borderId="0" xfId="10" applyFont="1" applyAlignment="1">
      <alignment horizontal="centerContinuous" wrapText="1"/>
    </xf>
    <xf numFmtId="0" fontId="9" fillId="0" borderId="0" xfId="15" applyFont="1" applyAlignment="1">
      <alignment horizontal="left" vertical="center" wrapText="1"/>
    </xf>
    <xf numFmtId="0" fontId="8" fillId="5" borderId="4" xfId="10" applyFont="1" applyFill="1" applyBorder="1" applyAlignment="1">
      <alignment horizontal="left" wrapText="1"/>
    </xf>
    <xf numFmtId="0" fontId="9" fillId="5" borderId="4" xfId="10" applyFont="1" applyFill="1" applyBorder="1" applyAlignment="1">
      <alignment horizontal="left" wrapText="1"/>
    </xf>
    <xf numFmtId="0" fontId="8" fillId="0" borderId="4" xfId="10" applyFont="1" applyBorder="1" applyAlignment="1">
      <alignment wrapText="1"/>
    </xf>
    <xf numFmtId="0" fontId="9" fillId="0" borderId="4" xfId="15" applyFont="1" applyBorder="1" applyAlignment="1">
      <alignment vertical="center" wrapText="1"/>
    </xf>
    <xf numFmtId="0" fontId="58" fillId="0" borderId="4" xfId="81" applyFont="1" applyBorder="1" applyAlignment="1">
      <alignment horizontal="center"/>
    </xf>
    <xf numFmtId="0" fontId="10" fillId="0" borderId="4" xfId="78" applyFont="1" applyBorder="1" applyAlignment="1">
      <alignment horizontal="center"/>
    </xf>
    <xf numFmtId="0" fontId="14" fillId="0" borderId="0" xfId="78" applyFont="1" applyAlignment="1">
      <alignment horizontal="center"/>
    </xf>
    <xf numFmtId="0" fontId="41" fillId="23" borderId="4" xfId="78" applyFont="1" applyFill="1" applyBorder="1" applyAlignment="1">
      <alignment horizontal="center"/>
    </xf>
    <xf numFmtId="0" fontId="41" fillId="23" borderId="12" xfId="78" applyFont="1" applyFill="1" applyBorder="1" applyAlignment="1">
      <alignment horizontal="center"/>
    </xf>
    <xf numFmtId="0" fontId="41" fillId="23" borderId="3" xfId="78" applyFont="1" applyFill="1" applyBorder="1" applyAlignment="1">
      <alignment horizontal="center"/>
    </xf>
    <xf numFmtId="0" fontId="41" fillId="23" borderId="10" xfId="78" applyFont="1" applyFill="1" applyBorder="1" applyAlignment="1">
      <alignment horizontal="center"/>
    </xf>
    <xf numFmtId="43" fontId="41" fillId="0" borderId="4" xfId="78" applyNumberFormat="1" applyFont="1" applyBorder="1" applyAlignment="1">
      <alignment horizontal="center" vertical="center"/>
    </xf>
    <xf numFmtId="0" fontId="41" fillId="9" borderId="6" xfId="78" applyFont="1" applyFill="1" applyBorder="1" applyAlignment="1">
      <alignment horizontal="center" vertical="center"/>
    </xf>
    <xf numFmtId="0" fontId="41" fillId="9" borderId="8" xfId="78" applyFont="1" applyFill="1" applyBorder="1" applyAlignment="1">
      <alignment horizontal="center" vertical="center"/>
    </xf>
    <xf numFmtId="43" fontId="41" fillId="9" borderId="4" xfId="77" applyFont="1" applyFill="1" applyBorder="1" applyAlignment="1">
      <alignment horizontal="center"/>
    </xf>
    <xf numFmtId="10" fontId="10" fillId="0" borderId="12" xfId="0" applyNumberFormat="1" applyFont="1" applyBorder="1" applyAlignment="1">
      <alignment horizontal="center"/>
    </xf>
    <xf numFmtId="10" fontId="10" fillId="0" borderId="3" xfId="0" applyNumberFormat="1" applyFont="1" applyBorder="1" applyAlignment="1">
      <alignment horizontal="center"/>
    </xf>
    <xf numFmtId="10" fontId="10" fillId="0" borderId="10" xfId="0" applyNumberFormat="1" applyFont="1" applyBorder="1" applyAlignment="1">
      <alignment horizontal="center"/>
    </xf>
    <xf numFmtId="0" fontId="14" fillId="0" borderId="0" xfId="0" applyFont="1" applyAlignment="1">
      <alignment horizontal="center" vertical="center" wrapText="1"/>
    </xf>
    <xf numFmtId="0" fontId="14" fillId="4" borderId="4" xfId="14" applyFont="1" applyFill="1" applyBorder="1" applyAlignment="1">
      <alignment horizontal="center" vertical="center" wrapText="1"/>
    </xf>
    <xf numFmtId="0" fontId="19" fillId="0" borderId="4" xfId="0" applyFont="1" applyBorder="1" applyAlignment="1">
      <alignment horizontal="center" vertical="center" wrapText="1"/>
    </xf>
    <xf numFmtId="0" fontId="14" fillId="4" borderId="4" xfId="14" applyFont="1" applyFill="1" applyBorder="1" applyAlignment="1">
      <alignment horizontal="center" vertical="center"/>
    </xf>
    <xf numFmtId="0" fontId="19" fillId="0" borderId="4" xfId="0" applyFont="1" applyBorder="1" applyAlignment="1">
      <alignment horizontal="center" vertical="center"/>
    </xf>
    <xf numFmtId="0" fontId="9" fillId="0" borderId="0" xfId="73" applyFont="1" applyAlignment="1">
      <alignment horizontal="center" vertical="center"/>
    </xf>
    <xf numFmtId="0" fontId="8" fillId="0" borderId="0" xfId="15" applyFont="1" applyAlignment="1">
      <alignment horizontal="left" vertical="center"/>
    </xf>
    <xf numFmtId="0" fontId="14" fillId="0" borderId="0" xfId="0" applyFont="1" applyAlignment="1">
      <alignment horizontal="center"/>
    </xf>
    <xf numFmtId="0" fontId="14" fillId="0" borderId="0" xfId="0" applyFont="1" applyAlignment="1">
      <alignment horizontal="center" vertical="top"/>
    </xf>
    <xf numFmtId="0" fontId="9" fillId="4" borderId="4" xfId="27" applyFont="1" applyFill="1" applyBorder="1" applyAlignment="1">
      <alignment horizontal="center" vertical="center" wrapText="1"/>
    </xf>
    <xf numFmtId="0" fontId="10" fillId="0" borderId="4" xfId="40" applyFont="1" applyBorder="1" applyAlignment="1">
      <alignment horizontal="center" vertical="center" wrapText="1"/>
    </xf>
    <xf numFmtId="0" fontId="9" fillId="4" borderId="6" xfId="15" applyFont="1" applyFill="1" applyBorder="1" applyAlignment="1">
      <alignment horizontal="center" vertical="center" wrapText="1"/>
    </xf>
    <xf numFmtId="0" fontId="9" fillId="4" borderId="9" xfId="15" applyFont="1" applyFill="1" applyBorder="1" applyAlignment="1">
      <alignment horizontal="center" vertical="center" wrapText="1"/>
    </xf>
    <xf numFmtId="0" fontId="10" fillId="0" borderId="8" xfId="10" applyFont="1" applyBorder="1" applyAlignment="1">
      <alignment horizontal="center" vertical="center" wrapText="1"/>
    </xf>
    <xf numFmtId="0" fontId="9" fillId="4" borderId="4" xfId="15" applyFont="1" applyFill="1" applyBorder="1" applyAlignment="1">
      <alignment horizontal="center" vertical="center" wrapText="1"/>
    </xf>
    <xf numFmtId="0" fontId="10" fillId="0" borderId="4" xfId="10" applyFont="1" applyBorder="1" applyAlignment="1">
      <alignment horizontal="center" vertical="center" wrapText="1"/>
    </xf>
    <xf numFmtId="0" fontId="9" fillId="4" borderId="4" xfId="15" applyFont="1" applyFill="1" applyBorder="1" applyAlignment="1">
      <alignment horizontal="center" vertical="center"/>
    </xf>
    <xf numFmtId="0" fontId="10" fillId="0" borderId="4" xfId="10" applyFont="1" applyBorder="1" applyAlignment="1">
      <alignment horizontal="center" vertical="center"/>
    </xf>
    <xf numFmtId="0" fontId="9" fillId="4" borderId="12" xfId="27" applyFont="1" applyFill="1" applyBorder="1" applyAlignment="1">
      <alignment horizontal="center" vertical="center" wrapText="1"/>
    </xf>
    <xf numFmtId="0" fontId="9" fillId="4" borderId="3" xfId="27" applyFont="1" applyFill="1" applyBorder="1" applyAlignment="1">
      <alignment horizontal="center" vertical="center" wrapText="1"/>
    </xf>
    <xf numFmtId="0" fontId="9" fillId="4" borderId="10" xfId="27" applyFont="1" applyFill="1" applyBorder="1" applyAlignment="1">
      <alignment horizontal="center" vertical="center" wrapText="1"/>
    </xf>
    <xf numFmtId="0" fontId="9" fillId="9" borderId="6" xfId="40" applyFont="1" applyFill="1" applyBorder="1" applyAlignment="1">
      <alignment horizontal="center" vertical="center"/>
    </xf>
    <xf numFmtId="0" fontId="9" fillId="9" borderId="9" xfId="40" applyFont="1" applyFill="1" applyBorder="1" applyAlignment="1">
      <alignment horizontal="center" vertical="center"/>
    </xf>
    <xf numFmtId="0" fontId="9" fillId="9" borderId="8" xfId="40" applyFont="1" applyFill="1" applyBorder="1" applyAlignment="1">
      <alignment horizontal="center" vertical="center"/>
    </xf>
    <xf numFmtId="0" fontId="9" fillId="0" borderId="0" xfId="40" applyFont="1" applyAlignment="1">
      <alignment horizontal="left"/>
    </xf>
    <xf numFmtId="0" fontId="9" fillId="9" borderId="4" xfId="40" applyFont="1" applyFill="1" applyBorder="1" applyAlignment="1">
      <alignment horizontal="center" vertical="center" wrapText="1"/>
    </xf>
    <xf numFmtId="0" fontId="9" fillId="9" borderId="4" xfId="40" applyFont="1" applyFill="1" applyBorder="1" applyAlignment="1">
      <alignment horizontal="center" wrapText="1"/>
    </xf>
    <xf numFmtId="0" fontId="9" fillId="9" borderId="4" xfId="40" applyFont="1" applyFill="1" applyBorder="1" applyAlignment="1">
      <alignment horizontal="center" vertical="center"/>
    </xf>
    <xf numFmtId="0" fontId="9" fillId="9" borderId="4" xfId="40" applyFont="1" applyFill="1" applyBorder="1" applyAlignment="1">
      <alignment horizontal="center"/>
    </xf>
    <xf numFmtId="0" fontId="8" fillId="0" borderId="8" xfId="10" applyFont="1" applyBorder="1" applyAlignment="1">
      <alignment horizontal="center" vertical="center" wrapText="1"/>
    </xf>
    <xf numFmtId="0" fontId="8" fillId="0" borderId="4" xfId="10" applyFont="1" applyBorder="1" applyAlignment="1">
      <alignment horizontal="center" vertical="center"/>
    </xf>
    <xf numFmtId="43" fontId="8" fillId="0" borderId="6" xfId="75" applyFont="1" applyBorder="1" applyAlignment="1">
      <alignment horizontal="center" vertical="center"/>
    </xf>
    <xf numFmtId="43" fontId="8" fillId="0" borderId="9" xfId="75" applyFont="1" applyBorder="1" applyAlignment="1">
      <alignment horizontal="center" vertical="center"/>
    </xf>
    <xf numFmtId="43" fontId="8" fillId="0" borderId="8" xfId="75" applyFont="1" applyBorder="1" applyAlignment="1">
      <alignment horizontal="center" vertical="center"/>
    </xf>
    <xf numFmtId="43" fontId="8" fillId="8" borderId="6" xfId="75" applyFont="1" applyFill="1" applyBorder="1" applyAlignment="1">
      <alignment horizontal="center"/>
    </xf>
    <xf numFmtId="43" fontId="8" fillId="8" borderId="9" xfId="75" applyFont="1" applyFill="1" applyBorder="1" applyAlignment="1">
      <alignment horizontal="center"/>
    </xf>
    <xf numFmtId="43" fontId="8" fillId="8" borderId="8" xfId="75" applyFont="1" applyFill="1" applyBorder="1" applyAlignment="1">
      <alignment horizontal="center"/>
    </xf>
    <xf numFmtId="0" fontId="9" fillId="0" borderId="0" xfId="0" applyFont="1" applyAlignment="1">
      <alignment horizontal="center"/>
    </xf>
    <xf numFmtId="0" fontId="9" fillId="0" borderId="0" xfId="0" applyFont="1" applyAlignment="1">
      <alignment horizontal="center" vertical="top"/>
    </xf>
    <xf numFmtId="43" fontId="8" fillId="0" borderId="6" xfId="75" applyFont="1" applyBorder="1" applyAlignment="1">
      <alignment horizontal="center" vertical="top"/>
    </xf>
    <xf numFmtId="43" fontId="8" fillId="0" borderId="9" xfId="75" applyFont="1" applyBorder="1" applyAlignment="1">
      <alignment horizontal="center" vertical="top"/>
    </xf>
    <xf numFmtId="43" fontId="8" fillId="0" borderId="8" xfId="75" applyFont="1" applyBorder="1" applyAlignment="1">
      <alignment horizontal="center" vertical="top"/>
    </xf>
    <xf numFmtId="2" fontId="9" fillId="7" borderId="12" xfId="11" applyNumberFormat="1" applyFont="1" applyFill="1" applyBorder="1" applyAlignment="1">
      <alignment horizontal="center" vertical="center" wrapText="1"/>
    </xf>
    <xf numFmtId="0" fontId="9" fillId="7" borderId="3" xfId="11" applyFont="1" applyFill="1" applyBorder="1" applyAlignment="1">
      <alignment horizontal="center" vertical="center" wrapText="1"/>
    </xf>
    <xf numFmtId="2" fontId="8" fillId="0" borderId="12" xfId="11" applyNumberFormat="1" applyFont="1" applyBorder="1" applyAlignment="1">
      <alignment horizontal="center" vertical="center" wrapText="1"/>
    </xf>
    <xf numFmtId="2" fontId="8" fillId="0" borderId="3" xfId="11" applyNumberFormat="1" applyFont="1" applyBorder="1" applyAlignment="1">
      <alignment horizontal="center" vertical="center" wrapText="1"/>
    </xf>
    <xf numFmtId="2" fontId="8" fillId="0" borderId="10" xfId="11" applyNumberFormat="1" applyFont="1" applyBorder="1" applyAlignment="1">
      <alignment horizontal="center" vertical="center" wrapText="1"/>
    </xf>
    <xf numFmtId="0" fontId="9" fillId="0" borderId="12" xfId="15" applyFont="1" applyBorder="1" applyAlignment="1">
      <alignment horizontal="center" vertical="center" wrapText="1"/>
    </xf>
    <xf numFmtId="0" fontId="9" fillId="0" borderId="3" xfId="15" applyFont="1" applyBorder="1" applyAlignment="1">
      <alignment horizontal="center" vertical="center" wrapText="1"/>
    </xf>
    <xf numFmtId="0" fontId="9" fillId="0" borderId="10" xfId="15" applyFont="1" applyBorder="1" applyAlignment="1">
      <alignment horizontal="center" vertical="center" wrapText="1"/>
    </xf>
    <xf numFmtId="0" fontId="9" fillId="6" borderId="4" xfId="15" applyFont="1" applyFill="1" applyBorder="1" applyAlignment="1">
      <alignment horizontal="center" vertical="center"/>
    </xf>
    <xf numFmtId="0" fontId="8" fillId="0" borderId="4" xfId="11" applyFont="1" applyBorder="1" applyAlignment="1">
      <alignment horizontal="center"/>
    </xf>
    <xf numFmtId="2" fontId="8" fillId="0" borderId="12" xfId="11" applyNumberFormat="1" applyFont="1" applyBorder="1" applyAlignment="1">
      <alignment horizontal="center"/>
    </xf>
    <xf numFmtId="2" fontId="8" fillId="0" borderId="3" xfId="11" applyNumberFormat="1" applyFont="1" applyBorder="1" applyAlignment="1">
      <alignment horizontal="center"/>
    </xf>
    <xf numFmtId="2" fontId="8" fillId="0" borderId="10" xfId="11" applyNumberFormat="1" applyFont="1" applyBorder="1" applyAlignment="1">
      <alignment horizontal="center"/>
    </xf>
    <xf numFmtId="0" fontId="9" fillId="16" borderId="13" xfId="12" applyFont="1" applyFill="1" applyBorder="1" applyAlignment="1">
      <alignment horizontal="center" vertical="center"/>
    </xf>
    <xf numFmtId="0" fontId="9" fillId="16" borderId="15" xfId="12" applyFont="1" applyFill="1" applyBorder="1" applyAlignment="1">
      <alignment horizontal="center" vertical="center"/>
    </xf>
    <xf numFmtId="0" fontId="9" fillId="16" borderId="14" xfId="12" applyFont="1" applyFill="1" applyBorder="1" applyAlignment="1">
      <alignment horizontal="center" vertical="center"/>
    </xf>
    <xf numFmtId="0" fontId="9" fillId="16" borderId="22" xfId="12" applyFont="1" applyFill="1" applyBorder="1" applyAlignment="1">
      <alignment horizontal="center" vertical="center"/>
    </xf>
    <xf numFmtId="0" fontId="9" fillId="16" borderId="0" xfId="12" applyFont="1" applyFill="1" applyAlignment="1">
      <alignment horizontal="center" vertical="center"/>
    </xf>
    <xf numFmtId="0" fontId="9" fillId="16" borderId="23" xfId="12" applyFont="1" applyFill="1" applyBorder="1" applyAlignment="1">
      <alignment horizontal="center" vertical="center"/>
    </xf>
    <xf numFmtId="0" fontId="9" fillId="16" borderId="24" xfId="12" applyFont="1" applyFill="1" applyBorder="1" applyAlignment="1">
      <alignment horizontal="center" vertical="center"/>
    </xf>
    <xf numFmtId="0" fontId="9" fillId="16" borderId="16" xfId="12" applyFont="1" applyFill="1" applyBorder="1" applyAlignment="1">
      <alignment horizontal="center" vertical="center"/>
    </xf>
    <xf numFmtId="0" fontId="9" fillId="16" borderId="25" xfId="12" applyFont="1" applyFill="1" applyBorder="1" applyAlignment="1">
      <alignment horizontal="center" vertical="center"/>
    </xf>
    <xf numFmtId="0" fontId="8" fillId="0" borderId="12" xfId="11" applyFont="1" applyBorder="1" applyAlignment="1">
      <alignment horizontal="center" vertical="center" wrapText="1"/>
    </xf>
    <xf numFmtId="0" fontId="8" fillId="0" borderId="3" xfId="11" applyFont="1" applyBorder="1" applyAlignment="1">
      <alignment horizontal="center" vertical="center" wrapText="1"/>
    </xf>
    <xf numFmtId="0" fontId="8" fillId="0" borderId="10" xfId="11" applyFont="1" applyBorder="1" applyAlignment="1">
      <alignment horizontal="center" vertical="center" wrapText="1"/>
    </xf>
    <xf numFmtId="0" fontId="8" fillId="0" borderId="12" xfId="11" applyFont="1" applyBorder="1" applyAlignment="1">
      <alignment horizontal="center"/>
    </xf>
    <xf numFmtId="0" fontId="8" fillId="0" borderId="3" xfId="11" applyFont="1" applyBorder="1" applyAlignment="1">
      <alignment horizontal="center"/>
    </xf>
    <xf numFmtId="0" fontId="8" fillId="0" borderId="10" xfId="11" applyFont="1" applyBorder="1" applyAlignment="1">
      <alignment horizontal="center"/>
    </xf>
    <xf numFmtId="0" fontId="8" fillId="0" borderId="12" xfId="11" quotePrefix="1" applyFont="1" applyBorder="1" applyAlignment="1">
      <alignment horizontal="center" vertical="center" wrapText="1"/>
    </xf>
    <xf numFmtId="0" fontId="8" fillId="0" borderId="3" xfId="11" quotePrefix="1" applyFont="1" applyBorder="1" applyAlignment="1">
      <alignment horizontal="center" vertical="center" wrapText="1"/>
    </xf>
    <xf numFmtId="0" fontId="8" fillId="0" borderId="10" xfId="11" quotePrefix="1" applyFont="1" applyBorder="1" applyAlignment="1">
      <alignment horizontal="center" vertical="center" wrapText="1"/>
    </xf>
    <xf numFmtId="0" fontId="9" fillId="0" borderId="12" xfId="11" applyFont="1" applyBorder="1" applyAlignment="1">
      <alignment horizontal="center" vertical="center" wrapText="1"/>
    </xf>
    <xf numFmtId="0" fontId="9" fillId="0" borderId="3" xfId="11" applyFont="1" applyBorder="1" applyAlignment="1">
      <alignment horizontal="center" vertical="center" wrapText="1"/>
    </xf>
    <xf numFmtId="0" fontId="9" fillId="0" borderId="10" xfId="11" applyFont="1" applyBorder="1" applyAlignment="1">
      <alignment horizontal="center" vertical="center" wrapText="1"/>
    </xf>
    <xf numFmtId="0" fontId="9" fillId="0" borderId="0" xfId="16" applyFont="1" applyAlignment="1">
      <alignment horizontal="left" vertical="center"/>
    </xf>
    <xf numFmtId="0" fontId="8" fillId="0" borderId="0" xfId="0" applyFont="1" applyAlignment="1">
      <alignment horizontal="left" vertical="center"/>
    </xf>
    <xf numFmtId="0" fontId="9" fillId="0" borderId="0" xfId="0" applyFont="1" applyAlignment="1">
      <alignment horizontal="left" vertical="center"/>
    </xf>
    <xf numFmtId="0" fontId="9" fillId="9" borderId="4" xfId="11" applyFont="1" applyFill="1" applyBorder="1" applyAlignment="1">
      <alignment horizontal="center" vertical="center"/>
    </xf>
    <xf numFmtId="0" fontId="9" fillId="9" borderId="10" xfId="12" applyFont="1" applyFill="1" applyBorder="1" applyAlignment="1">
      <alignment horizontal="center" vertical="center" wrapText="1"/>
    </xf>
    <xf numFmtId="0" fontId="9" fillId="9" borderId="4" xfId="12" applyFont="1" applyFill="1" applyBorder="1" applyAlignment="1">
      <alignment horizontal="center" vertical="center"/>
    </xf>
    <xf numFmtId="0" fontId="9" fillId="9" borderId="4" xfId="12" applyFont="1" applyFill="1" applyBorder="1" applyAlignment="1">
      <alignment horizontal="center" vertical="center" wrapText="1"/>
    </xf>
    <xf numFmtId="0" fontId="9" fillId="9" borderId="12" xfId="12" applyFont="1" applyFill="1" applyBorder="1" applyAlignment="1">
      <alignment horizontal="center" vertical="center"/>
    </xf>
    <xf numFmtId="0" fontId="9" fillId="9" borderId="3" xfId="12" applyFont="1" applyFill="1" applyBorder="1" applyAlignment="1">
      <alignment horizontal="center" vertical="center"/>
    </xf>
    <xf numFmtId="0" fontId="9" fillId="9" borderId="10" xfId="12" applyFont="1" applyFill="1" applyBorder="1" applyAlignment="1">
      <alignment horizontal="center" vertical="center"/>
    </xf>
    <xf numFmtId="0" fontId="9" fillId="0" borderId="0" xfId="15" applyFont="1" applyAlignment="1">
      <alignment horizontal="center" vertical="center"/>
    </xf>
    <xf numFmtId="2" fontId="8" fillId="0" borderId="4" xfId="11" applyNumberFormat="1" applyFont="1" applyBorder="1" applyAlignment="1">
      <alignment horizontal="center"/>
    </xf>
    <xf numFmtId="0" fontId="8" fillId="0" borderId="0" xfId="11" applyFont="1" applyAlignment="1">
      <alignment horizontal="left" wrapText="1"/>
    </xf>
    <xf numFmtId="0" fontId="10" fillId="0" borderId="0" xfId="10" applyFont="1" applyAlignment="1">
      <alignment horizontal="center" vertical="center"/>
    </xf>
    <xf numFmtId="0" fontId="9" fillId="0" borderId="0" xfId="10" applyFont="1" applyAlignment="1">
      <alignment horizontal="center" vertical="center"/>
    </xf>
    <xf numFmtId="0" fontId="41" fillId="0" borderId="0" xfId="10" applyFont="1" applyAlignment="1">
      <alignment horizontal="center" vertical="center"/>
    </xf>
    <xf numFmtId="0" fontId="9" fillId="4" borderId="3" xfId="15" applyFont="1" applyFill="1" applyBorder="1" applyAlignment="1">
      <alignment horizontal="center" vertical="center" wrapText="1"/>
    </xf>
    <xf numFmtId="0" fontId="9" fillId="0" borderId="0" xfId="17" applyFont="1" applyAlignment="1">
      <alignment horizontal="center" vertical="center"/>
    </xf>
    <xf numFmtId="0" fontId="9" fillId="0" borderId="0" xfId="0" applyFont="1" applyAlignment="1">
      <alignment horizontal="center" vertical="center"/>
    </xf>
    <xf numFmtId="0" fontId="9" fillId="4" borderId="12" xfId="15" applyFont="1" applyFill="1" applyBorder="1" applyAlignment="1">
      <alignment horizontal="center" vertical="center" wrapText="1"/>
    </xf>
    <xf numFmtId="0" fontId="8" fillId="0" borderId="9" xfId="0" applyFont="1" applyBorder="1" applyAlignment="1">
      <alignment horizontal="center" vertical="center" wrapText="1"/>
    </xf>
    <xf numFmtId="0" fontId="8" fillId="0" borderId="8" xfId="0" applyFont="1" applyBorder="1" applyAlignment="1">
      <alignment horizontal="center" vertical="center" wrapText="1"/>
    </xf>
    <xf numFmtId="0" fontId="8" fillId="0" borderId="4" xfId="0" applyFont="1" applyBorder="1"/>
    <xf numFmtId="0" fontId="32" fillId="0" borderId="4" xfId="85" applyFont="1" applyBorder="1" applyAlignment="1">
      <alignment horizontal="right" vertical="center"/>
    </xf>
    <xf numFmtId="0" fontId="32" fillId="14" borderId="4" xfId="85" applyFont="1" applyFill="1" applyBorder="1" applyAlignment="1">
      <alignment horizontal="center" vertical="center"/>
    </xf>
    <xf numFmtId="0" fontId="32" fillId="0" borderId="4" xfId="85" applyFont="1" applyBorder="1" applyAlignment="1">
      <alignment horizontal="left" vertical="center" wrapText="1"/>
    </xf>
    <xf numFmtId="0" fontId="31" fillId="0" borderId="35" xfId="85" applyFont="1" applyBorder="1" applyAlignment="1">
      <alignment horizontal="center" vertical="center"/>
    </xf>
    <xf numFmtId="0" fontId="31" fillId="0" borderId="36" xfId="85" applyFont="1" applyBorder="1" applyAlignment="1">
      <alignment horizontal="center" vertical="center"/>
    </xf>
    <xf numFmtId="0" fontId="31" fillId="0" borderId="12" xfId="85" applyFont="1" applyBorder="1" applyAlignment="1">
      <alignment horizontal="center" vertical="center"/>
    </xf>
    <xf numFmtId="0" fontId="31" fillId="0" borderId="3" xfId="85" applyFont="1" applyBorder="1" applyAlignment="1">
      <alignment horizontal="center" vertical="center"/>
    </xf>
    <xf numFmtId="0" fontId="31" fillId="0" borderId="10" xfId="85" applyFont="1" applyBorder="1" applyAlignment="1">
      <alignment horizontal="center" vertical="center"/>
    </xf>
    <xf numFmtId="0" fontId="9" fillId="4" borderId="6" xfId="27" applyFont="1" applyFill="1" applyBorder="1" applyAlignment="1">
      <alignment horizontal="center" vertical="center" wrapText="1"/>
    </xf>
    <xf numFmtId="0" fontId="9" fillId="4" borderId="9" xfId="27" applyFont="1" applyFill="1" applyBorder="1" applyAlignment="1">
      <alignment horizontal="center" vertical="center" wrapText="1"/>
    </xf>
    <xf numFmtId="0" fontId="8" fillId="0" borderId="8" xfId="40" applyFont="1" applyBorder="1" applyAlignment="1">
      <alignment horizontal="center" vertical="center" wrapText="1"/>
    </xf>
    <xf numFmtId="0" fontId="9" fillId="4" borderId="4" xfId="27" applyFont="1" applyFill="1" applyBorder="1" applyAlignment="1">
      <alignment horizontal="center" vertical="center"/>
    </xf>
    <xf numFmtId="0" fontId="8" fillId="0" borderId="4" xfId="40" applyFont="1" applyBorder="1" applyAlignment="1">
      <alignment horizontal="center" vertical="center"/>
    </xf>
    <xf numFmtId="0" fontId="8" fillId="8" borderId="0" xfId="40" applyFont="1" applyFill="1" applyAlignment="1">
      <alignment horizontal="left" wrapText="1"/>
    </xf>
    <xf numFmtId="0" fontId="8" fillId="8" borderId="0" xfId="40" applyFont="1" applyFill="1" applyAlignment="1">
      <alignment horizontal="left"/>
    </xf>
    <xf numFmtId="0" fontId="9" fillId="4" borderId="6" xfId="10" applyFont="1" applyFill="1" applyBorder="1" applyAlignment="1">
      <alignment horizontal="left" vertical="center" wrapText="1"/>
    </xf>
    <xf numFmtId="0" fontId="9" fillId="4" borderId="9" xfId="10" applyFont="1" applyFill="1" applyBorder="1" applyAlignment="1">
      <alignment horizontal="left" vertical="center" wrapText="1"/>
    </xf>
    <xf numFmtId="0" fontId="9" fillId="4" borderId="8" xfId="10" applyFont="1" applyFill="1" applyBorder="1" applyAlignment="1">
      <alignment horizontal="left" vertical="center" wrapText="1"/>
    </xf>
    <xf numFmtId="0" fontId="9" fillId="4" borderId="12" xfId="10" applyFont="1" applyFill="1" applyBorder="1" applyAlignment="1">
      <alignment horizontal="center" vertical="center" wrapText="1"/>
    </xf>
    <xf numFmtId="0" fontId="9" fillId="4" borderId="3" xfId="10" applyFont="1" applyFill="1" applyBorder="1" applyAlignment="1">
      <alignment horizontal="center" vertical="center" wrapText="1"/>
    </xf>
    <xf numFmtId="0" fontId="9" fillId="4" borderId="10" xfId="10" applyFont="1" applyFill="1" applyBorder="1" applyAlignment="1">
      <alignment horizontal="center" vertical="center" wrapText="1"/>
    </xf>
    <xf numFmtId="0" fontId="9" fillId="4" borderId="6" xfId="10" applyFont="1" applyFill="1" applyBorder="1" applyAlignment="1">
      <alignment horizontal="center" vertical="center" wrapText="1"/>
    </xf>
    <xf numFmtId="0" fontId="9" fillId="4" borderId="9" xfId="10" applyFont="1" applyFill="1" applyBorder="1" applyAlignment="1">
      <alignment horizontal="center" vertical="center" wrapText="1"/>
    </xf>
    <xf numFmtId="0" fontId="9" fillId="4" borderId="8" xfId="10" applyFont="1" applyFill="1" applyBorder="1" applyAlignment="1">
      <alignment horizontal="center" vertical="center" wrapText="1"/>
    </xf>
    <xf numFmtId="0" fontId="9" fillId="4" borderId="6" xfId="10" applyFont="1" applyFill="1" applyBorder="1" applyAlignment="1">
      <alignment horizontal="center" vertical="center"/>
    </xf>
    <xf numFmtId="0" fontId="9" fillId="4" borderId="8" xfId="10" applyFont="1" applyFill="1" applyBorder="1" applyAlignment="1">
      <alignment horizontal="center" vertical="center"/>
    </xf>
    <xf numFmtId="0" fontId="9" fillId="4" borderId="4" xfId="10" applyFont="1" applyFill="1" applyBorder="1" applyAlignment="1">
      <alignment horizontal="center" vertical="center" wrapText="1"/>
    </xf>
    <xf numFmtId="0" fontId="8" fillId="0" borderId="4" xfId="10" applyFont="1" applyBorder="1" applyAlignment="1">
      <alignment horizontal="center" vertical="center" wrapText="1"/>
    </xf>
    <xf numFmtId="0" fontId="11" fillId="4" borderId="12" xfId="40" applyFont="1" applyFill="1" applyBorder="1" applyAlignment="1">
      <alignment horizontal="center" vertical="center" wrapText="1"/>
    </xf>
    <xf numFmtId="0" fontId="11" fillId="4" borderId="3" xfId="40" applyFont="1" applyFill="1" applyBorder="1" applyAlignment="1">
      <alignment horizontal="center" vertical="center" wrapText="1"/>
    </xf>
    <xf numFmtId="0" fontId="11" fillId="4" borderId="10" xfId="40" applyFont="1" applyFill="1" applyBorder="1" applyAlignment="1">
      <alignment horizontal="center" vertical="center" wrapText="1"/>
    </xf>
    <xf numFmtId="0" fontId="64" fillId="0" borderId="13" xfId="10" applyFont="1" applyBorder="1" applyAlignment="1">
      <alignment horizontal="center" vertical="center" textRotation="45"/>
    </xf>
    <xf numFmtId="0" fontId="64" fillId="0" borderId="15" xfId="10" applyFont="1" applyBorder="1" applyAlignment="1">
      <alignment horizontal="center" vertical="center" textRotation="45"/>
    </xf>
    <xf numFmtId="0" fontId="64" fillId="0" borderId="14" xfId="10" applyFont="1" applyBorder="1" applyAlignment="1">
      <alignment horizontal="center" vertical="center" textRotation="45"/>
    </xf>
    <xf numFmtId="0" fontId="64" fillId="0" borderId="22" xfId="10" applyFont="1" applyBorder="1" applyAlignment="1">
      <alignment horizontal="center" vertical="center" textRotation="45"/>
    </xf>
    <xf numFmtId="0" fontId="64" fillId="0" borderId="0" xfId="10" applyFont="1" applyAlignment="1">
      <alignment horizontal="center" vertical="center" textRotation="45"/>
    </xf>
    <xf numFmtId="0" fontId="64" fillId="0" borderId="23" xfId="10" applyFont="1" applyBorder="1" applyAlignment="1">
      <alignment horizontal="center" vertical="center" textRotation="45"/>
    </xf>
    <xf numFmtId="0" fontId="64" fillId="0" borderId="24" xfId="10" applyFont="1" applyBorder="1" applyAlignment="1">
      <alignment horizontal="center" vertical="center" textRotation="45"/>
    </xf>
    <xf numFmtId="0" fontId="64" fillId="0" borderId="16" xfId="10" applyFont="1" applyBorder="1" applyAlignment="1">
      <alignment horizontal="center" vertical="center" textRotation="45"/>
    </xf>
    <xf numFmtId="0" fontId="64" fillId="0" borderId="25" xfId="10" applyFont="1" applyBorder="1" applyAlignment="1">
      <alignment horizontal="center" vertical="center" textRotation="45"/>
    </xf>
    <xf numFmtId="0" fontId="9" fillId="0" borderId="13" xfId="10" applyFont="1" applyBorder="1" applyAlignment="1">
      <alignment horizontal="center" vertical="center" wrapText="1"/>
    </xf>
    <xf numFmtId="0" fontId="9" fillId="0" borderId="15" xfId="10" applyFont="1" applyBorder="1" applyAlignment="1">
      <alignment horizontal="center" vertical="center" wrapText="1"/>
    </xf>
    <xf numFmtId="0" fontId="9" fillId="0" borderId="14" xfId="10" applyFont="1" applyBorder="1" applyAlignment="1">
      <alignment horizontal="center" vertical="center" wrapText="1"/>
    </xf>
    <xf numFmtId="0" fontId="9" fillId="0" borderId="22" xfId="10" applyFont="1" applyBorder="1" applyAlignment="1">
      <alignment horizontal="center" vertical="center" wrapText="1"/>
    </xf>
    <xf numFmtId="0" fontId="9" fillId="0" borderId="0" xfId="10" applyFont="1" applyAlignment="1">
      <alignment horizontal="center" vertical="center" wrapText="1"/>
    </xf>
    <xf numFmtId="0" fontId="9" fillId="0" borderId="23" xfId="10" applyFont="1" applyBorder="1" applyAlignment="1">
      <alignment horizontal="center" vertical="center" wrapText="1"/>
    </xf>
    <xf numFmtId="0" fontId="9" fillId="0" borderId="24" xfId="10" applyFont="1" applyBorder="1" applyAlignment="1">
      <alignment horizontal="center" vertical="center" wrapText="1"/>
    </xf>
    <xf numFmtId="0" fontId="9" fillId="0" borderId="16" xfId="10" applyFont="1" applyBorder="1" applyAlignment="1">
      <alignment horizontal="center" vertical="center" wrapText="1"/>
    </xf>
    <xf numFmtId="0" fontId="9" fillId="0" borderId="25" xfId="10" applyFont="1" applyBorder="1" applyAlignment="1">
      <alignment horizontal="center" vertical="center" wrapText="1"/>
    </xf>
    <xf numFmtId="43" fontId="9" fillId="4" borderId="9" xfId="75" applyFont="1" applyFill="1" applyBorder="1" applyAlignment="1">
      <alignment horizontal="center" vertical="center" wrapText="1"/>
    </xf>
    <xf numFmtId="43" fontId="9" fillId="4" borderId="8" xfId="75" applyFont="1" applyFill="1" applyBorder="1" applyAlignment="1">
      <alignment horizontal="center" vertical="center" wrapText="1"/>
    </xf>
    <xf numFmtId="0" fontId="9" fillId="4" borderId="13" xfId="10" applyFont="1" applyFill="1" applyBorder="1" applyAlignment="1">
      <alignment horizontal="center" vertical="center" wrapText="1"/>
    </xf>
    <xf numFmtId="0" fontId="9" fillId="4" borderId="15" xfId="10" applyFont="1" applyFill="1" applyBorder="1" applyAlignment="1">
      <alignment horizontal="center" vertical="center" wrapText="1"/>
    </xf>
    <xf numFmtId="0" fontId="9" fillId="4" borderId="14" xfId="10" applyFont="1" applyFill="1" applyBorder="1" applyAlignment="1">
      <alignment horizontal="center" vertical="center" wrapText="1"/>
    </xf>
    <xf numFmtId="0" fontId="9" fillId="4" borderId="4" xfId="40" applyFont="1" applyFill="1" applyBorder="1" applyAlignment="1">
      <alignment horizontal="center" vertical="center" wrapText="1"/>
    </xf>
    <xf numFmtId="0" fontId="9" fillId="4" borderId="6" xfId="40" applyFont="1" applyFill="1" applyBorder="1" applyAlignment="1">
      <alignment horizontal="center" vertical="center" wrapText="1"/>
    </xf>
    <xf numFmtId="0" fontId="9" fillId="4" borderId="8" xfId="40" applyFont="1" applyFill="1" applyBorder="1" applyAlignment="1">
      <alignment horizontal="center" vertical="center" wrapText="1"/>
    </xf>
    <xf numFmtId="0" fontId="9" fillId="4" borderId="6" xfId="62" applyFont="1" applyFill="1" applyBorder="1" applyAlignment="1">
      <alignment horizontal="center" vertical="center" wrapText="1"/>
    </xf>
    <xf numFmtId="0" fontId="9" fillId="4" borderId="8" xfId="62" applyFont="1" applyFill="1" applyBorder="1" applyAlignment="1">
      <alignment horizontal="center" vertical="center" wrapText="1"/>
    </xf>
    <xf numFmtId="43" fontId="9" fillId="0" borderId="13" xfId="75" applyFont="1" applyBorder="1" applyAlignment="1">
      <alignment horizontal="center" vertical="center"/>
    </xf>
    <xf numFmtId="43" fontId="9" fillId="0" borderId="14" xfId="75" applyFont="1" applyBorder="1" applyAlignment="1">
      <alignment horizontal="center" vertical="center"/>
    </xf>
    <xf numFmtId="43" fontId="9" fillId="0" borderId="22" xfId="75" applyFont="1" applyBorder="1" applyAlignment="1">
      <alignment horizontal="center" vertical="center"/>
    </xf>
    <xf numFmtId="43" fontId="9" fillId="0" borderId="23" xfId="75" applyFont="1" applyBorder="1" applyAlignment="1">
      <alignment horizontal="center" vertical="center"/>
    </xf>
    <xf numFmtId="43" fontId="9" fillId="0" borderId="24" xfId="75" applyFont="1" applyBorder="1" applyAlignment="1">
      <alignment horizontal="center" vertical="center"/>
    </xf>
    <xf numFmtId="43" fontId="9" fillId="0" borderId="25" xfId="75" applyFont="1" applyBorder="1" applyAlignment="1">
      <alignment horizontal="center" vertical="center"/>
    </xf>
    <xf numFmtId="43" fontId="9" fillId="4" borderId="4" xfId="75" applyFont="1" applyFill="1" applyBorder="1" applyAlignment="1">
      <alignment horizontal="center" vertical="center" wrapText="1"/>
    </xf>
    <xf numFmtId="43" fontId="9" fillId="4" borderId="4" xfId="75" applyFont="1" applyFill="1" applyBorder="1" applyAlignment="1">
      <alignment horizontal="center" wrapText="1"/>
    </xf>
    <xf numFmtId="43" fontId="8" fillId="0" borderId="4" xfId="75" applyFont="1" applyBorder="1" applyAlignment="1">
      <alignment horizontal="center" wrapText="1"/>
    </xf>
    <xf numFmtId="0" fontId="8" fillId="0" borderId="4" xfId="40" applyFont="1" applyBorder="1" applyAlignment="1">
      <alignment horizontal="center" wrapText="1"/>
    </xf>
    <xf numFmtId="0" fontId="9" fillId="4" borderId="4" xfId="40" applyFont="1" applyFill="1" applyBorder="1" applyAlignment="1">
      <alignment horizontal="center" wrapText="1"/>
    </xf>
    <xf numFmtId="0" fontId="8" fillId="8" borderId="0" xfId="27" applyFont="1" applyFill="1" applyAlignment="1">
      <alignment horizontal="left" vertical="center"/>
    </xf>
    <xf numFmtId="0" fontId="9" fillId="18" borderId="12" xfId="0" applyFont="1" applyFill="1" applyBorder="1" applyAlignment="1">
      <alignment horizontal="center" vertical="center" wrapText="1"/>
    </xf>
    <xf numFmtId="0" fontId="9" fillId="18" borderId="3" xfId="0" applyFont="1" applyFill="1" applyBorder="1" applyAlignment="1">
      <alignment horizontal="center" vertical="center" wrapText="1"/>
    </xf>
    <xf numFmtId="0" fontId="9" fillId="18" borderId="10" xfId="0" applyFont="1" applyFill="1" applyBorder="1" applyAlignment="1">
      <alignment horizontal="center" vertical="center" wrapText="1"/>
    </xf>
    <xf numFmtId="0" fontId="10" fillId="0" borderId="4" xfId="40" applyFont="1" applyBorder="1" applyAlignment="1">
      <alignment horizontal="center" wrapText="1"/>
    </xf>
    <xf numFmtId="0" fontId="8" fillId="0" borderId="4" xfId="40" applyFont="1" applyBorder="1" applyAlignment="1">
      <alignment horizontal="center" vertical="center" wrapText="1"/>
    </xf>
    <xf numFmtId="0" fontId="9" fillId="0" borderId="0" xfId="40" applyFont="1" applyAlignment="1">
      <alignment horizontal="center"/>
    </xf>
    <xf numFmtId="0" fontId="8" fillId="0" borderId="0" xfId="0" applyFont="1"/>
    <xf numFmtId="0" fontId="9" fillId="0" borderId="0" xfId="0" applyFont="1" applyAlignment="1">
      <alignment horizontal="left"/>
    </xf>
    <xf numFmtId="0" fontId="9" fillId="17" borderId="0" xfId="0" applyFont="1" applyFill="1" applyAlignment="1">
      <alignment horizontal="left" vertical="center"/>
    </xf>
    <xf numFmtId="43" fontId="9" fillId="17" borderId="0" xfId="75" applyFont="1" applyFill="1" applyAlignment="1">
      <alignment horizontal="left" vertical="center"/>
    </xf>
    <xf numFmtId="0" fontId="9" fillId="18" borderId="6" xfId="0" applyFont="1" applyFill="1" applyBorder="1" applyAlignment="1">
      <alignment horizontal="center" vertical="center" wrapText="1"/>
    </xf>
    <xf numFmtId="0" fontId="9" fillId="18" borderId="9" xfId="0" applyFont="1" applyFill="1" applyBorder="1" applyAlignment="1">
      <alignment horizontal="center" vertical="center" wrapText="1"/>
    </xf>
    <xf numFmtId="0" fontId="9" fillId="18" borderId="8" xfId="0" applyFont="1" applyFill="1" applyBorder="1" applyAlignment="1">
      <alignment horizontal="center" vertical="center" wrapText="1"/>
    </xf>
    <xf numFmtId="43" fontId="9" fillId="18" borderId="12" xfId="75" applyFont="1" applyFill="1" applyBorder="1" applyAlignment="1">
      <alignment horizontal="center" vertical="center" wrapText="1"/>
    </xf>
    <xf numFmtId="43" fontId="9" fillId="18" borderId="3" xfId="75" applyFont="1" applyFill="1" applyBorder="1" applyAlignment="1">
      <alignment horizontal="center" vertical="center" wrapText="1"/>
    </xf>
    <xf numFmtId="43" fontId="9" fillId="18" borderId="10" xfId="75" applyFont="1" applyFill="1" applyBorder="1" applyAlignment="1">
      <alignment horizontal="center" vertical="center" wrapText="1"/>
    </xf>
    <xf numFmtId="0" fontId="9" fillId="18" borderId="12" xfId="0" applyFont="1" applyFill="1" applyBorder="1" applyAlignment="1">
      <alignment horizontal="center" wrapText="1"/>
    </xf>
    <xf numFmtId="0" fontId="9" fillId="18" borderId="3" xfId="0" applyFont="1" applyFill="1" applyBorder="1" applyAlignment="1">
      <alignment horizontal="center" wrapText="1"/>
    </xf>
    <xf numFmtId="0" fontId="9" fillId="18" borderId="10" xfId="0" applyFont="1" applyFill="1" applyBorder="1" applyAlignment="1">
      <alignment horizontal="center" wrapText="1"/>
    </xf>
    <xf numFmtId="0" fontId="8" fillId="17" borderId="0" xfId="0" applyFont="1" applyFill="1" applyAlignment="1">
      <alignment horizontal="left" vertical="center" wrapText="1"/>
    </xf>
    <xf numFmtId="0" fontId="32" fillId="12" borderId="24" xfId="0" applyFont="1" applyFill="1" applyBorder="1" applyAlignment="1">
      <alignment horizontal="center"/>
    </xf>
    <xf numFmtId="0" fontId="32" fillId="12" borderId="16" xfId="0" applyFont="1" applyFill="1" applyBorder="1" applyAlignment="1">
      <alignment horizontal="center"/>
    </xf>
    <xf numFmtId="0" fontId="32" fillId="12" borderId="22" xfId="0" applyFont="1" applyFill="1" applyBorder="1" applyAlignment="1">
      <alignment horizontal="center"/>
    </xf>
    <xf numFmtId="0" fontId="32" fillId="12" borderId="0" xfId="0" applyFont="1" applyFill="1" applyAlignment="1">
      <alignment horizontal="center"/>
    </xf>
    <xf numFmtId="0" fontId="8" fillId="5" borderId="0" xfId="10" applyFont="1" applyFill="1" applyAlignment="1">
      <alignment horizontal="left" vertical="top" wrapText="1"/>
    </xf>
    <xf numFmtId="0" fontId="9" fillId="4" borderId="8" xfId="27" applyFont="1" applyFill="1" applyBorder="1" applyAlignment="1">
      <alignment horizontal="center" vertical="center" wrapText="1"/>
    </xf>
    <xf numFmtId="0" fontId="8" fillId="0" borderId="0" xfId="15" applyFont="1" applyAlignment="1">
      <alignment horizontal="left" vertical="center" wrapText="1"/>
    </xf>
    <xf numFmtId="0" fontId="9" fillId="4" borderId="8" xfId="15" applyFont="1" applyFill="1" applyBorder="1" applyAlignment="1">
      <alignment horizontal="center" vertical="center" wrapText="1"/>
    </xf>
    <xf numFmtId="0" fontId="65" fillId="5" borderId="13" xfId="10" applyFont="1" applyFill="1" applyBorder="1" applyAlignment="1">
      <alignment horizontal="center" vertical="center"/>
    </xf>
    <xf numFmtId="0" fontId="65" fillId="5" borderId="15" xfId="10" applyFont="1" applyFill="1" applyBorder="1" applyAlignment="1">
      <alignment horizontal="center" vertical="center"/>
    </xf>
    <xf numFmtId="0" fontId="65" fillId="5" borderId="14" xfId="10" applyFont="1" applyFill="1" applyBorder="1" applyAlignment="1">
      <alignment horizontal="center" vertical="center"/>
    </xf>
    <xf numFmtId="0" fontId="65" fillId="5" borderId="22" xfId="10" applyFont="1" applyFill="1" applyBorder="1" applyAlignment="1">
      <alignment horizontal="center" vertical="center"/>
    </xf>
    <xf numFmtId="0" fontId="65" fillId="5" borderId="0" xfId="10" applyFont="1" applyFill="1" applyAlignment="1">
      <alignment horizontal="center" vertical="center"/>
    </xf>
    <xf numFmtId="0" fontId="65" fillId="5" borderId="23" xfId="10" applyFont="1" applyFill="1" applyBorder="1" applyAlignment="1">
      <alignment horizontal="center" vertical="center"/>
    </xf>
    <xf numFmtId="0" fontId="65" fillId="5" borderId="24" xfId="10" applyFont="1" applyFill="1" applyBorder="1" applyAlignment="1">
      <alignment horizontal="center" vertical="center"/>
    </xf>
    <xf numFmtId="0" fontId="65" fillId="5" borderId="16" xfId="10" applyFont="1" applyFill="1" applyBorder="1" applyAlignment="1">
      <alignment horizontal="center" vertical="center"/>
    </xf>
    <xf numFmtId="0" fontId="65" fillId="5" borderId="25" xfId="10" applyFont="1" applyFill="1" applyBorder="1" applyAlignment="1">
      <alignment horizontal="center" vertical="center"/>
    </xf>
    <xf numFmtId="0" fontId="9" fillId="4" borderId="12" xfId="27" applyFont="1" applyFill="1" applyBorder="1" applyAlignment="1">
      <alignment horizontal="center" vertical="center"/>
    </xf>
    <xf numFmtId="0" fontId="9" fillId="4" borderId="3" xfId="27" applyFont="1" applyFill="1" applyBorder="1" applyAlignment="1">
      <alignment horizontal="center" vertical="center"/>
    </xf>
    <xf numFmtId="0" fontId="9" fillId="4" borderId="10" xfId="27" applyFont="1" applyFill="1" applyBorder="1" applyAlignment="1">
      <alignment horizontal="center" vertical="center"/>
    </xf>
    <xf numFmtId="43" fontId="9" fillId="4" borderId="8" xfId="75" applyFont="1" applyFill="1" applyBorder="1" applyAlignment="1">
      <alignment horizontal="center" vertical="center"/>
    </xf>
    <xf numFmtId="0" fontId="14" fillId="0" borderId="0" xfId="27" applyFont="1" applyAlignment="1">
      <alignment horizontal="center" vertical="center" wrapText="1"/>
    </xf>
    <xf numFmtId="0" fontId="8" fillId="0" borderId="0" xfId="27" applyFont="1" applyAlignment="1">
      <alignment horizontal="left" vertical="center" wrapText="1"/>
    </xf>
    <xf numFmtId="0" fontId="8" fillId="0" borderId="0" xfId="27" applyFont="1" applyAlignment="1">
      <alignment horizontal="left" vertical="center"/>
    </xf>
    <xf numFmtId="0" fontId="9" fillId="4" borderId="6" xfId="27" applyFont="1" applyFill="1" applyBorder="1" applyAlignment="1">
      <alignment horizontal="center" vertical="center"/>
    </xf>
    <xf numFmtId="0" fontId="9" fillId="4" borderId="8" xfId="27" applyFont="1" applyFill="1" applyBorder="1" applyAlignment="1">
      <alignment horizontal="center" vertical="center"/>
    </xf>
    <xf numFmtId="0" fontId="9" fillId="0" borderId="0" xfId="27" applyFont="1" applyAlignment="1">
      <alignment horizontal="center" vertical="center"/>
    </xf>
    <xf numFmtId="0" fontId="8" fillId="0" borderId="0" xfId="0" applyFont="1" applyAlignment="1">
      <alignment horizontal="center" vertical="center"/>
    </xf>
    <xf numFmtId="0" fontId="51" fillId="0" borderId="0" xfId="84" applyFont="1" applyAlignment="1">
      <alignment horizontal="center"/>
    </xf>
    <xf numFmtId="0" fontId="55" fillId="0" borderId="0" xfId="84" applyFont="1"/>
    <xf numFmtId="0" fontId="10" fillId="0" borderId="0" xfId="84" applyFont="1"/>
    <xf numFmtId="0" fontId="52" fillId="0" borderId="4" xfId="84" applyFont="1" applyBorder="1" applyAlignment="1">
      <alignment horizontal="center"/>
    </xf>
    <xf numFmtId="0" fontId="10" fillId="0" borderId="4" xfId="84" applyFont="1" applyBorder="1"/>
    <xf numFmtId="0" fontId="9" fillId="0" borderId="0" xfId="40" applyFont="1" applyAlignment="1">
      <alignment horizontal="center" vertical="center" wrapText="1"/>
    </xf>
    <xf numFmtId="0" fontId="43" fillId="0" borderId="0" xfId="27" applyFont="1" applyAlignment="1">
      <alignment horizontal="left" vertical="center" wrapText="1"/>
    </xf>
    <xf numFmtId="0" fontId="2" fillId="0" borderId="4" xfId="90" applyBorder="1" applyAlignment="1">
      <alignment horizontal="left" vertical="top" wrapText="1"/>
    </xf>
    <xf numFmtId="0" fontId="9" fillId="9" borderId="6" xfId="27" applyFont="1" applyFill="1" applyBorder="1" applyAlignment="1">
      <alignment horizontal="center" vertical="center"/>
    </xf>
    <xf numFmtId="0" fontId="9" fillId="9" borderId="8" xfId="27" applyFont="1" applyFill="1" applyBorder="1" applyAlignment="1">
      <alignment horizontal="center" vertical="center"/>
    </xf>
    <xf numFmtId="0" fontId="9" fillId="9" borderId="12" xfId="40" applyFont="1" applyFill="1" applyBorder="1" applyAlignment="1">
      <alignment horizontal="center" vertical="center" wrapText="1"/>
    </xf>
    <xf numFmtId="0" fontId="9" fillId="9" borderId="3" xfId="40" applyFont="1" applyFill="1" applyBorder="1" applyAlignment="1">
      <alignment horizontal="center" vertical="center" wrapText="1"/>
    </xf>
    <xf numFmtId="0" fontId="9" fillId="9" borderId="10" xfId="40" applyFont="1" applyFill="1" applyBorder="1" applyAlignment="1">
      <alignment horizontal="center" vertical="center" wrapText="1"/>
    </xf>
    <xf numFmtId="43" fontId="59" fillId="0" borderId="13" xfId="77" applyFont="1" applyBorder="1" applyAlignment="1">
      <alignment horizontal="center" vertical="center"/>
    </xf>
    <xf numFmtId="43" fontId="59" fillId="0" borderId="15" xfId="77" applyFont="1" applyBorder="1" applyAlignment="1">
      <alignment horizontal="center" vertical="center"/>
    </xf>
    <xf numFmtId="43" fontId="59" fillId="0" borderId="14" xfId="77" applyFont="1" applyBorder="1" applyAlignment="1">
      <alignment horizontal="center" vertical="center"/>
    </xf>
    <xf numFmtId="43" fontId="59" fillId="0" borderId="22" xfId="77" applyFont="1" applyBorder="1" applyAlignment="1">
      <alignment horizontal="center" vertical="center"/>
    </xf>
    <xf numFmtId="43" fontId="59" fillId="0" borderId="0" xfId="77" applyFont="1" applyBorder="1" applyAlignment="1">
      <alignment horizontal="center" vertical="center"/>
    </xf>
    <xf numFmtId="43" fontId="59" fillId="0" borderId="23" xfId="77" applyFont="1" applyBorder="1" applyAlignment="1">
      <alignment horizontal="center" vertical="center"/>
    </xf>
    <xf numFmtId="43" fontId="59" fillId="0" borderId="24" xfId="77" applyFont="1" applyBorder="1" applyAlignment="1">
      <alignment horizontal="center" vertical="center"/>
    </xf>
    <xf numFmtId="43" fontId="59" fillId="0" borderId="16" xfId="77" applyFont="1" applyBorder="1" applyAlignment="1">
      <alignment horizontal="center" vertical="center"/>
    </xf>
    <xf numFmtId="43" fontId="59" fillId="0" borderId="25" xfId="77" applyFont="1" applyBorder="1" applyAlignment="1">
      <alignment horizontal="center" vertical="center"/>
    </xf>
    <xf numFmtId="0" fontId="9" fillId="4" borderId="6" xfId="25" applyFont="1" applyFill="1" applyBorder="1" applyAlignment="1">
      <alignment horizontal="left" vertical="center" wrapText="1"/>
    </xf>
    <xf numFmtId="0" fontId="9" fillId="4" borderId="9" xfId="25" applyFont="1" applyFill="1" applyBorder="1" applyAlignment="1">
      <alignment horizontal="left" vertical="center" wrapText="1"/>
    </xf>
    <xf numFmtId="0" fontId="8" fillId="0" borderId="9" xfId="26" applyFont="1" applyBorder="1" applyAlignment="1">
      <alignment horizontal="left" vertical="center" wrapText="1"/>
    </xf>
    <xf numFmtId="0" fontId="8" fillId="0" borderId="8" xfId="26" applyFont="1" applyBorder="1" applyAlignment="1">
      <alignment horizontal="left" vertical="center" wrapText="1"/>
    </xf>
    <xf numFmtId="0" fontId="9" fillId="4" borderId="8" xfId="25" applyFont="1" applyFill="1" applyBorder="1" applyAlignment="1">
      <alignment horizontal="left" vertical="center" wrapText="1"/>
    </xf>
    <xf numFmtId="0" fontId="9" fillId="4" borderId="12" xfId="25" applyFont="1" applyFill="1" applyBorder="1" applyAlignment="1">
      <alignment horizontal="center" vertical="center"/>
    </xf>
    <xf numFmtId="0" fontId="9" fillId="4" borderId="3" xfId="25" applyFont="1" applyFill="1" applyBorder="1" applyAlignment="1">
      <alignment horizontal="center" vertical="center"/>
    </xf>
    <xf numFmtId="0" fontId="9" fillId="4" borderId="10" xfId="25" applyFont="1" applyFill="1" applyBorder="1" applyAlignment="1">
      <alignment horizontal="center" vertical="center"/>
    </xf>
    <xf numFmtId="2" fontId="9" fillId="4" borderId="6" xfId="25" applyNumberFormat="1" applyFont="1" applyFill="1" applyBorder="1" applyAlignment="1">
      <alignment horizontal="center" vertical="top"/>
    </xf>
    <xf numFmtId="2" fontId="9" fillId="4" borderId="9" xfId="25" applyNumberFormat="1" applyFont="1" applyFill="1" applyBorder="1" applyAlignment="1">
      <alignment horizontal="center" vertical="top"/>
    </xf>
    <xf numFmtId="2" fontId="9" fillId="4" borderId="8" xfId="25" applyNumberFormat="1" applyFont="1" applyFill="1" applyBorder="1" applyAlignment="1">
      <alignment horizontal="center" vertical="top"/>
    </xf>
    <xf numFmtId="0" fontId="9" fillId="4" borderId="6" xfId="25" applyFont="1" applyFill="1" applyBorder="1" applyAlignment="1">
      <alignment horizontal="center" vertical="top" wrapText="1"/>
    </xf>
    <xf numFmtId="0" fontId="9" fillId="4" borderId="9" xfId="25" applyFont="1" applyFill="1" applyBorder="1" applyAlignment="1">
      <alignment horizontal="center" vertical="top" wrapText="1"/>
    </xf>
    <xf numFmtId="0" fontId="9" fillId="4" borderId="8" xfId="25" applyFont="1" applyFill="1" applyBorder="1" applyAlignment="1">
      <alignment horizontal="center" vertical="top" wrapText="1"/>
    </xf>
    <xf numFmtId="0" fontId="9" fillId="4" borderId="4" xfId="25" applyFont="1" applyFill="1" applyBorder="1" applyAlignment="1">
      <alignment horizontal="center" vertical="center" wrapText="1"/>
    </xf>
    <xf numFmtId="0" fontId="9" fillId="4" borderId="12" xfId="26" applyFont="1" applyFill="1" applyBorder="1" applyAlignment="1">
      <alignment horizontal="center" vertical="top" wrapText="1"/>
    </xf>
    <xf numFmtId="0" fontId="9" fillId="4" borderId="3" xfId="26" applyFont="1" applyFill="1" applyBorder="1" applyAlignment="1">
      <alignment horizontal="center" vertical="top" wrapText="1"/>
    </xf>
    <xf numFmtId="0" fontId="9" fillId="4" borderId="10" xfId="26" applyFont="1" applyFill="1" applyBorder="1" applyAlignment="1">
      <alignment horizontal="center" vertical="top" wrapText="1"/>
    </xf>
    <xf numFmtId="10" fontId="9" fillId="0" borderId="12" xfId="30" quotePrefix="1" applyNumberFormat="1" applyFont="1" applyFill="1" applyBorder="1" applyAlignment="1">
      <alignment horizontal="center" vertical="center"/>
    </xf>
    <xf numFmtId="10" fontId="9" fillId="0" borderId="3" xfId="30" applyNumberFormat="1" applyFont="1" applyFill="1" applyBorder="1" applyAlignment="1">
      <alignment horizontal="center" vertical="center"/>
    </xf>
    <xf numFmtId="10" fontId="9" fillId="0" borderId="10" xfId="30" applyNumberFormat="1" applyFont="1" applyFill="1" applyBorder="1" applyAlignment="1">
      <alignment horizontal="center" vertical="center"/>
    </xf>
    <xf numFmtId="0" fontId="13" fillId="0" borderId="0" xfId="26" applyFont="1" applyAlignment="1">
      <alignment horizontal="left" wrapText="1"/>
    </xf>
    <xf numFmtId="0" fontId="9" fillId="0" borderId="0" xfId="26" applyFont="1" applyAlignment="1">
      <alignment horizontal="center" vertical="center"/>
    </xf>
    <xf numFmtId="0" fontId="32" fillId="0" borderId="0" xfId="26" applyFont="1" applyAlignment="1">
      <alignment horizontal="center" vertical="center"/>
    </xf>
    <xf numFmtId="0" fontId="9" fillId="4" borderId="12" xfId="25" applyFont="1" applyFill="1" applyBorder="1" applyAlignment="1">
      <alignment horizontal="center" vertical="top" wrapText="1"/>
    </xf>
    <xf numFmtId="0" fontId="9" fillId="4" borderId="10" xfId="25" applyFont="1" applyFill="1" applyBorder="1" applyAlignment="1">
      <alignment horizontal="center" vertical="top" wrapText="1"/>
    </xf>
    <xf numFmtId="0" fontId="9" fillId="9" borderId="6" xfId="40" applyFont="1" applyFill="1" applyBorder="1" applyAlignment="1">
      <alignment horizontal="center" vertical="top" wrapText="1"/>
    </xf>
    <xf numFmtId="0" fontId="9" fillId="9" borderId="9" xfId="40" applyFont="1" applyFill="1" applyBorder="1" applyAlignment="1">
      <alignment horizontal="center" vertical="top" wrapText="1"/>
    </xf>
    <xf numFmtId="0" fontId="9" fillId="9" borderId="8" xfId="40" applyFont="1" applyFill="1" applyBorder="1" applyAlignment="1">
      <alignment horizontal="center" vertical="top" wrapText="1"/>
    </xf>
    <xf numFmtId="0" fontId="9" fillId="23" borderId="4" xfId="78" applyFont="1" applyFill="1" applyBorder="1" applyAlignment="1">
      <alignment horizontal="center" vertical="center" wrapText="1"/>
    </xf>
    <xf numFmtId="0" fontId="9" fillId="0" borderId="0" xfId="40" applyFont="1" applyAlignment="1">
      <alignment horizontal="center" vertical="center"/>
    </xf>
    <xf numFmtId="0" fontId="9" fillId="8" borderId="0" xfId="40" applyFont="1" applyFill="1" applyAlignment="1">
      <alignment horizontal="center" vertical="center"/>
    </xf>
    <xf numFmtId="0" fontId="52" fillId="14" borderId="6" xfId="67" applyFont="1" applyFill="1" applyBorder="1" applyAlignment="1">
      <alignment horizontal="center" vertical="center"/>
    </xf>
    <xf numFmtId="0" fontId="52" fillId="14" borderId="8" xfId="67" applyFont="1" applyFill="1" applyBorder="1" applyAlignment="1">
      <alignment horizontal="center" vertical="center"/>
    </xf>
    <xf numFmtId="0" fontId="52" fillId="14" borderId="6" xfId="67" applyFont="1" applyFill="1" applyBorder="1" applyAlignment="1">
      <alignment horizontal="center" vertical="center" wrapText="1"/>
    </xf>
    <xf numFmtId="0" fontId="52" fillId="14" borderId="8" xfId="67" applyFont="1" applyFill="1" applyBorder="1" applyAlignment="1">
      <alignment horizontal="center" vertical="center" wrapText="1"/>
    </xf>
    <xf numFmtId="0" fontId="53" fillId="14" borderId="12" xfId="67" applyFont="1" applyFill="1" applyBorder="1" applyAlignment="1">
      <alignment horizontal="center"/>
    </xf>
    <xf numFmtId="0" fontId="53" fillId="14" borderId="3" xfId="67" applyFont="1" applyFill="1" applyBorder="1" applyAlignment="1">
      <alignment horizontal="center"/>
    </xf>
    <xf numFmtId="0" fontId="53" fillId="14" borderId="10" xfId="67" applyFont="1" applyFill="1" applyBorder="1" applyAlignment="1">
      <alignment horizontal="center"/>
    </xf>
  </cellXfs>
  <cellStyles count="95">
    <cellStyle name="Body" xfId="1" xr:uid="{00000000-0005-0000-0000-000000000000}"/>
    <cellStyle name="Comma" xfId="75" builtinId="3"/>
    <cellStyle name="Comma  - Style1" xfId="2" xr:uid="{00000000-0005-0000-0000-000001000000}"/>
    <cellStyle name="Comma 10" xfId="80" xr:uid="{089B0F40-0E4C-48E4-B170-61873D6DD157}"/>
    <cellStyle name="Comma 11" xfId="88" xr:uid="{9C67A6FF-C213-4404-A8E8-682E553508B1}"/>
    <cellStyle name="Comma 11 2" xfId="23" xr:uid="{00000000-0005-0000-0000-000002000000}"/>
    <cellStyle name="Comma 11 2 2" xfId="74" xr:uid="{B820B2FA-E791-45E4-B2B9-13FDA44D3FA0}"/>
    <cellStyle name="Comma 12" xfId="91" xr:uid="{0A70DE72-B556-4703-9939-925F793E159F}"/>
    <cellStyle name="Comma 2" xfId="33" xr:uid="{00000000-0005-0000-0000-000003000000}"/>
    <cellStyle name="Comma 2 2" xfId="34" xr:uid="{00000000-0005-0000-0000-000004000000}"/>
    <cellStyle name="Comma 2 2 2" xfId="69" xr:uid="{62932AA7-3EDE-4558-9C40-2F8EC82AD610}"/>
    <cellStyle name="Comma 2 3" xfId="35" xr:uid="{00000000-0005-0000-0000-000005000000}"/>
    <cellStyle name="Comma 2 4" xfId="64" xr:uid="{00000000-0005-0000-0000-000006000000}"/>
    <cellStyle name="Comma 2 5" xfId="89" xr:uid="{182BAE1F-DCD6-461D-970C-E88A44C54468}"/>
    <cellStyle name="Comma 3" xfId="36" xr:uid="{00000000-0005-0000-0000-000007000000}"/>
    <cellStyle name="Comma 3 2" xfId="68" xr:uid="{AAD3ED89-B369-4DDF-8E8A-866133F512F7}"/>
    <cellStyle name="Comma 4" xfId="37" xr:uid="{00000000-0005-0000-0000-000008000000}"/>
    <cellStyle name="Comma 4 2" xfId="70" xr:uid="{30108221-594C-402B-BE98-53E1B9C66AE4}"/>
    <cellStyle name="Comma 4 2 2 2" xfId="83" xr:uid="{AAD9D2A5-8F9D-4C81-93F0-BE591C2F4403}"/>
    <cellStyle name="Comma 5" xfId="38" xr:uid="{00000000-0005-0000-0000-000009000000}"/>
    <cellStyle name="Comma 6" xfId="28" xr:uid="{00000000-0005-0000-0000-00000A000000}"/>
    <cellStyle name="Comma 6 2" xfId="32" xr:uid="{00000000-0005-0000-0000-00000B000000}"/>
    <cellStyle name="Comma 6 3" xfId="58" xr:uid="{00000000-0005-0000-0000-00000C000000}"/>
    <cellStyle name="Comma 6 4" xfId="59" xr:uid="{00000000-0005-0000-0000-00000D000000}"/>
    <cellStyle name="Comma 7" xfId="39" xr:uid="{00000000-0005-0000-0000-00000E000000}"/>
    <cellStyle name="Comma 8" xfId="71" xr:uid="{16D85897-B484-493A-8596-609BD0309C8A}"/>
    <cellStyle name="Comma 9" xfId="77" xr:uid="{F722E928-AA00-4A46-91F1-9C09CA65FF96}"/>
    <cellStyle name="Curren - Style2" xfId="3" xr:uid="{00000000-0005-0000-0000-00000F000000}"/>
    <cellStyle name="Currency 2" xfId="93" xr:uid="{03857436-B524-499F-A1EA-0671CDBDF7D5}"/>
    <cellStyle name="Grey" xfId="4" xr:uid="{00000000-0005-0000-0000-000010000000}"/>
    <cellStyle name="Header1" xfId="5" xr:uid="{00000000-0005-0000-0000-000011000000}"/>
    <cellStyle name="Header2" xfId="6" xr:uid="{00000000-0005-0000-0000-000012000000}"/>
    <cellStyle name="Hyperlink" xfId="81" builtinId="8"/>
    <cellStyle name="Hyperlink 2" xfId="86" xr:uid="{FF72ADAB-BD11-465B-904B-3A6C8E5FFF89}"/>
    <cellStyle name="Input [yellow]" xfId="7" xr:uid="{00000000-0005-0000-0000-000013000000}"/>
    <cellStyle name="no dec" xfId="8" xr:uid="{00000000-0005-0000-0000-000014000000}"/>
    <cellStyle name="Normal" xfId="0" builtinId="0"/>
    <cellStyle name="Normal - Style1" xfId="9" xr:uid="{00000000-0005-0000-0000-000016000000}"/>
    <cellStyle name="Normal 10" xfId="78" xr:uid="{6EFC3C59-C538-4BD9-9276-54B6C885C5A8}"/>
    <cellStyle name="Normal 10 2" xfId="84" xr:uid="{C48CA8BA-1700-44AF-BFD8-552A4D2186E2}"/>
    <cellStyle name="Normal 11" xfId="79" xr:uid="{96DC3CA4-008F-4CCA-91E2-8D7BB90FA8DF}"/>
    <cellStyle name="Normal 12" xfId="85" xr:uid="{1F89FC0F-CB01-419D-AE09-A55367F78B39}"/>
    <cellStyle name="Normal 13" xfId="87" xr:uid="{425B0822-CA6D-4F64-9B9B-C7770339F423}"/>
    <cellStyle name="Normal 14" xfId="90" xr:uid="{C30F86CB-90C4-4F58-8BBA-C3137955D604}"/>
    <cellStyle name="Normal 15" xfId="22" xr:uid="{00000000-0005-0000-0000-000017000000}"/>
    <cellStyle name="Normal 15 2" xfId="72" xr:uid="{CB244ED1-6A08-4853-9E4A-E1F16E097848}"/>
    <cellStyle name="Normal 16" xfId="92" xr:uid="{F34329C7-85C2-4555-8565-ECCC209CBBB1}"/>
    <cellStyle name="Normal 17" xfId="94" xr:uid="{59B06828-2CC7-4A22-9878-551B6D246A14}"/>
    <cellStyle name="Normal 18" xfId="67" xr:uid="{3F787878-56F2-4098-AA04-E7CF734EE050}"/>
    <cellStyle name="Normal 18 2 2" xfId="82" xr:uid="{FE6E7591-5D5A-4604-A94C-C74F0E8EFC89}"/>
    <cellStyle name="Normal 2" xfId="10" xr:uid="{00000000-0005-0000-0000-000018000000}"/>
    <cellStyle name="Normal 2 2" xfId="11" xr:uid="{00000000-0005-0000-0000-000019000000}"/>
    <cellStyle name="Normal 2 2 2" xfId="40" xr:uid="{00000000-0005-0000-0000-00001A000000}"/>
    <cellStyle name="Normal 2 2 2 2" xfId="62" xr:uid="{00000000-0005-0000-0000-00001B000000}"/>
    <cellStyle name="Normal 2 2_Working APR 2007-08 Mahagenco_Bhushan_1.3" xfId="41" xr:uid="{00000000-0005-0000-0000-00001C000000}"/>
    <cellStyle name="Normal 2 3" xfId="12" xr:uid="{00000000-0005-0000-0000-00001D000000}"/>
    <cellStyle name="Normal 2 4" xfId="26" xr:uid="{00000000-0005-0000-0000-00001E000000}"/>
    <cellStyle name="Normal 2_ARR FINAL" xfId="42" xr:uid="{00000000-0005-0000-0000-00001F000000}"/>
    <cellStyle name="Normal 3" xfId="13" xr:uid="{00000000-0005-0000-0000-000020000000}"/>
    <cellStyle name="Normal 3 2" xfId="31" xr:uid="{00000000-0005-0000-0000-000021000000}"/>
    <cellStyle name="Normal 3 2 2" xfId="65" xr:uid="{00000000-0005-0000-0000-000022000000}"/>
    <cellStyle name="Normal 39" xfId="43" xr:uid="{00000000-0005-0000-0000-000023000000}"/>
    <cellStyle name="Normal 4" xfId="25" xr:uid="{00000000-0005-0000-0000-000024000000}"/>
    <cellStyle name="Normal 4 2" xfId="63" xr:uid="{00000000-0005-0000-0000-000025000000}"/>
    <cellStyle name="Normal 5" xfId="44" xr:uid="{00000000-0005-0000-0000-000026000000}"/>
    <cellStyle name="Normal 5 2" xfId="45" xr:uid="{00000000-0005-0000-0000-000027000000}"/>
    <cellStyle name="Normal 6" xfId="46" xr:uid="{00000000-0005-0000-0000-000028000000}"/>
    <cellStyle name="Normal 7" xfId="47" xr:uid="{00000000-0005-0000-0000-000029000000}"/>
    <cellStyle name="Normal 8" xfId="60" xr:uid="{00000000-0005-0000-0000-00002A000000}"/>
    <cellStyle name="Normal 9" xfId="61" xr:uid="{00000000-0005-0000-0000-00002B000000}"/>
    <cellStyle name="Normal_FORMATS 5 YEAR ALOKE" xfId="14" xr:uid="{00000000-0005-0000-0000-00002C000000}"/>
    <cellStyle name="Normal_FORMATS 5 YEAR ALOKE 2" xfId="15" xr:uid="{00000000-0005-0000-0000-00002D000000}"/>
    <cellStyle name="Normal_FORMATS 5 YEAR ALOKE 2 2" xfId="27" xr:uid="{00000000-0005-0000-0000-00002E000000}"/>
    <cellStyle name="Normal_FORMATS 5 YEAR ALOKE 3" xfId="16" xr:uid="{00000000-0005-0000-0000-00002F000000}"/>
    <cellStyle name="Normal_FORMATS 5 YEAR ALOKE 3 2" xfId="17" xr:uid="{00000000-0005-0000-0000-000030000000}"/>
    <cellStyle name="Normal_FORMATS 5 YEAR ALOKE 3 2 2" xfId="73" xr:uid="{26C3D1E9-EA6E-40D0-93E6-90DF47F140F8}"/>
    <cellStyle name="Normal_FORMATS 5 YEAR ALOKE 4" xfId="48" xr:uid="{00000000-0005-0000-0000-000031000000}"/>
    <cellStyle name="Normal_Sheet1" xfId="29" xr:uid="{00000000-0005-0000-0000-000032000000}"/>
    <cellStyle name="Percent" xfId="76" builtinId="5"/>
    <cellStyle name="Percent [0]_#6 Temps &amp; Contractors" xfId="18" xr:uid="{00000000-0005-0000-0000-000033000000}"/>
    <cellStyle name="Percent [2]" xfId="19" xr:uid="{00000000-0005-0000-0000-000034000000}"/>
    <cellStyle name="Percent 2" xfId="30" xr:uid="{00000000-0005-0000-0000-000035000000}"/>
    <cellStyle name="Percent 2 2" xfId="49" xr:uid="{00000000-0005-0000-0000-000036000000}"/>
    <cellStyle name="Percent 2 3" xfId="66" xr:uid="{00000000-0005-0000-0000-000037000000}"/>
    <cellStyle name="Percent 3" xfId="50" xr:uid="{00000000-0005-0000-0000-000038000000}"/>
    <cellStyle name="Percent 3 2" xfId="51" xr:uid="{00000000-0005-0000-0000-000039000000}"/>
    <cellStyle name="Percent 4" xfId="52" xr:uid="{00000000-0005-0000-0000-00003A000000}"/>
    <cellStyle name="Percent 41" xfId="24" xr:uid="{00000000-0005-0000-0000-00003B000000}"/>
    <cellStyle name="Percent 5" xfId="53" xr:uid="{00000000-0005-0000-0000-00003C000000}"/>
    <cellStyle name="Percent 5 2" xfId="54" xr:uid="{00000000-0005-0000-0000-00003D000000}"/>
    <cellStyle name="Percent 5 3" xfId="55" xr:uid="{00000000-0005-0000-0000-00003E000000}"/>
    <cellStyle name="Percent 6" xfId="56" xr:uid="{00000000-0005-0000-0000-00003F000000}"/>
    <cellStyle name="Percent 6 2" xfId="57" xr:uid="{00000000-0005-0000-0000-000040000000}"/>
    <cellStyle name="Style 1" xfId="20" xr:uid="{00000000-0005-0000-0000-000041000000}"/>
    <cellStyle name="Style 2" xfId="21" xr:uid="{00000000-0005-0000-0000-000042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xdr:col>
      <xdr:colOff>57150</xdr:colOff>
      <xdr:row>2</xdr:row>
      <xdr:rowOff>38101</xdr:rowOff>
    </xdr:from>
    <xdr:to>
      <xdr:col>13</xdr:col>
      <xdr:colOff>580350</xdr:colOff>
      <xdr:row>14</xdr:row>
      <xdr:rowOff>123571</xdr:rowOff>
    </xdr:to>
    <xdr:pic>
      <xdr:nvPicPr>
        <xdr:cNvPr id="2" name="Picture 1">
          <a:extLst>
            <a:ext uri="{FF2B5EF4-FFF2-40B4-BE49-F238E27FC236}">
              <a16:creationId xmlns:a16="http://schemas.microsoft.com/office/drawing/2014/main" id="{9F5C29B4-736E-4A5B-934C-8A04C1F6B4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62650" y="381001"/>
          <a:ext cx="5521920" cy="23181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209550</xdr:colOff>
      <xdr:row>14</xdr:row>
      <xdr:rowOff>133350</xdr:rowOff>
    </xdr:from>
    <xdr:to>
      <xdr:col>14</xdr:col>
      <xdr:colOff>123150</xdr:colOff>
      <xdr:row>20</xdr:row>
      <xdr:rowOff>6528</xdr:rowOff>
    </xdr:to>
    <xdr:pic>
      <xdr:nvPicPr>
        <xdr:cNvPr id="3" name="Picture 2">
          <a:extLst>
            <a:ext uri="{FF2B5EF4-FFF2-40B4-BE49-F238E27FC236}">
              <a16:creationId xmlns:a16="http://schemas.microsoft.com/office/drawing/2014/main" id="{BDD926B9-4650-4906-9497-34301C9A67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15050" y="2884170"/>
          <a:ext cx="5537160" cy="8790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sbi.co.in/portal/web/interest-rates/mclr-historical-data"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CDB9FE-D0E3-4E79-BEC1-F80D15594476}">
  <dimension ref="D1:M26"/>
  <sheetViews>
    <sheetView showGridLines="0" workbookViewId="0">
      <selection activeCell="M11" sqref="M11:M14"/>
    </sheetView>
  </sheetViews>
  <sheetFormatPr defaultColWidth="9.109375" defaultRowHeight="13.2" x14ac:dyDescent="0.25"/>
  <cols>
    <col min="1" max="3" width="9.109375" style="649"/>
    <col min="4" max="4" width="33.33203125" style="649" bestFit="1" customWidth="1"/>
    <col min="5" max="5" width="10.33203125" style="649" bestFit="1" customWidth="1"/>
    <col min="6" max="6" width="10.6640625" style="649" bestFit="1" customWidth="1"/>
    <col min="7" max="7" width="9.109375" style="649"/>
    <col min="8" max="8" width="10.33203125" style="649" bestFit="1" customWidth="1"/>
    <col min="9" max="10" width="9.109375" style="649"/>
    <col min="11" max="11" width="10.33203125" style="649" bestFit="1" customWidth="1"/>
    <col min="12" max="12" width="10.6640625" style="649" bestFit="1" customWidth="1"/>
    <col min="13" max="16384" width="9.109375" style="649"/>
  </cols>
  <sheetData>
    <row r="1" spans="4:13" ht="15.6" x14ac:dyDescent="0.3">
      <c r="D1" s="915" t="s">
        <v>833</v>
      </c>
      <c r="E1" s="915"/>
      <c r="F1" s="915"/>
      <c r="G1" s="915"/>
      <c r="H1" s="915"/>
      <c r="I1" s="915"/>
      <c r="J1" s="915"/>
      <c r="K1" s="915"/>
      <c r="L1" s="915"/>
      <c r="M1" s="915"/>
    </row>
    <row r="3" spans="4:13" x14ac:dyDescent="0.25">
      <c r="D3" s="916" t="s">
        <v>834</v>
      </c>
      <c r="E3" s="916"/>
      <c r="F3" s="916"/>
      <c r="G3" s="916"/>
      <c r="H3" s="916"/>
      <c r="I3" s="916"/>
      <c r="J3" s="916"/>
      <c r="K3" s="916"/>
      <c r="L3" s="916"/>
      <c r="M3" s="916"/>
    </row>
    <row r="4" spans="4:13" x14ac:dyDescent="0.25">
      <c r="D4" s="778" t="s">
        <v>74</v>
      </c>
      <c r="E4" s="778" t="s">
        <v>835</v>
      </c>
      <c r="F4" s="778" t="s">
        <v>836</v>
      </c>
      <c r="G4" s="778" t="s">
        <v>493</v>
      </c>
      <c r="H4" s="778" t="s">
        <v>835</v>
      </c>
      <c r="I4" s="778" t="s">
        <v>836</v>
      </c>
      <c r="J4" s="778" t="s">
        <v>493</v>
      </c>
      <c r="K4" s="778" t="s">
        <v>835</v>
      </c>
      <c r="L4" s="778" t="s">
        <v>836</v>
      </c>
      <c r="M4" s="778" t="s">
        <v>493</v>
      </c>
    </row>
    <row r="5" spans="4:13" x14ac:dyDescent="0.25">
      <c r="D5" s="778"/>
      <c r="E5" s="917" t="s">
        <v>75</v>
      </c>
      <c r="F5" s="918"/>
      <c r="G5" s="919"/>
      <c r="H5" s="917" t="s">
        <v>76</v>
      </c>
      <c r="I5" s="918"/>
      <c r="J5" s="919"/>
      <c r="K5" s="917" t="s">
        <v>77</v>
      </c>
      <c r="L5" s="918"/>
      <c r="M5" s="919"/>
    </row>
    <row r="6" spans="4:13" x14ac:dyDescent="0.25">
      <c r="D6" s="652" t="s">
        <v>837</v>
      </c>
      <c r="E6" s="779">
        <v>44652</v>
      </c>
      <c r="F6" s="652">
        <f t="shared" ref="F6:F18" si="0">E7-E6</f>
        <v>14</v>
      </c>
      <c r="G6" s="780">
        <v>7.0000000000000007E-2</v>
      </c>
      <c r="H6" s="779">
        <v>45017</v>
      </c>
      <c r="I6" s="652">
        <f t="shared" ref="I6:I18" si="1">H7-H6</f>
        <v>14</v>
      </c>
      <c r="J6" s="659">
        <f>+G19</f>
        <v>8.5000000000000006E-2</v>
      </c>
      <c r="K6" s="779">
        <v>45383</v>
      </c>
      <c r="L6" s="652">
        <f>K7-K6+1</f>
        <v>15</v>
      </c>
      <c r="M6" s="659">
        <f>+J19</f>
        <v>8.6499999999999994E-2</v>
      </c>
    </row>
    <row r="7" spans="4:13" x14ac:dyDescent="0.25">
      <c r="D7" s="659" t="s">
        <v>838</v>
      </c>
      <c r="E7" s="779">
        <v>44666</v>
      </c>
      <c r="F7" s="652">
        <f t="shared" si="0"/>
        <v>30</v>
      </c>
      <c r="G7" s="780">
        <v>7.0999999999999994E-2</v>
      </c>
      <c r="H7" s="779">
        <v>45031</v>
      </c>
      <c r="I7" s="652">
        <f t="shared" si="1"/>
        <v>30</v>
      </c>
      <c r="J7" s="659">
        <v>8.5000000000000006E-2</v>
      </c>
      <c r="K7" s="779">
        <v>45397</v>
      </c>
      <c r="L7" s="652">
        <f t="shared" ref="L7:L18" si="2">K8-K7</f>
        <v>30</v>
      </c>
      <c r="M7" s="659">
        <f>M6</f>
        <v>8.6499999999999994E-2</v>
      </c>
    </row>
    <row r="8" spans="4:13" x14ac:dyDescent="0.25">
      <c r="D8" s="659" t="s">
        <v>838</v>
      </c>
      <c r="E8" s="779">
        <v>44696</v>
      </c>
      <c r="F8" s="652">
        <f t="shared" si="0"/>
        <v>31</v>
      </c>
      <c r="G8" s="780">
        <v>7.1999999999999995E-2</v>
      </c>
      <c r="H8" s="779">
        <v>45061</v>
      </c>
      <c r="I8" s="652">
        <f t="shared" si="1"/>
        <v>31</v>
      </c>
      <c r="J8" s="659">
        <v>8.5000000000000006E-2</v>
      </c>
      <c r="K8" s="779">
        <v>45427</v>
      </c>
      <c r="L8" s="652">
        <f t="shared" si="2"/>
        <v>31</v>
      </c>
      <c r="M8" s="659">
        <f>M7</f>
        <v>8.6499999999999994E-2</v>
      </c>
    </row>
    <row r="9" spans="4:13" x14ac:dyDescent="0.25">
      <c r="D9" s="659" t="s">
        <v>838</v>
      </c>
      <c r="E9" s="779">
        <v>44727</v>
      </c>
      <c r="F9" s="652">
        <f t="shared" si="0"/>
        <v>30</v>
      </c>
      <c r="G9" s="780">
        <v>7.3999999999999996E-2</v>
      </c>
      <c r="H9" s="779">
        <v>45092</v>
      </c>
      <c r="I9" s="652">
        <f t="shared" si="1"/>
        <v>30</v>
      </c>
      <c r="J9" s="659">
        <v>8.5000000000000006E-2</v>
      </c>
      <c r="K9" s="779">
        <v>45458</v>
      </c>
      <c r="L9" s="652">
        <f t="shared" si="2"/>
        <v>30</v>
      </c>
      <c r="M9" s="659">
        <v>8.7499999999999994E-2</v>
      </c>
    </row>
    <row r="10" spans="4:13" x14ac:dyDescent="0.25">
      <c r="D10" s="659" t="s">
        <v>838</v>
      </c>
      <c r="E10" s="779">
        <v>44757</v>
      </c>
      <c r="F10" s="652">
        <f t="shared" si="0"/>
        <v>31</v>
      </c>
      <c r="G10" s="780">
        <v>7.4999999999999997E-2</v>
      </c>
      <c r="H10" s="779">
        <v>45122</v>
      </c>
      <c r="I10" s="652">
        <f t="shared" si="1"/>
        <v>31</v>
      </c>
      <c r="J10" s="659">
        <v>8.5500000000000007E-2</v>
      </c>
      <c r="K10" s="779">
        <v>45488</v>
      </c>
      <c r="L10" s="652">
        <f t="shared" si="2"/>
        <v>31</v>
      </c>
      <c r="M10" s="659">
        <v>8.8499999999999995E-2</v>
      </c>
    </row>
    <row r="11" spans="4:13" x14ac:dyDescent="0.25">
      <c r="D11" s="659" t="s">
        <v>838</v>
      </c>
      <c r="E11" s="779">
        <v>44788</v>
      </c>
      <c r="F11" s="652">
        <f t="shared" si="0"/>
        <v>31</v>
      </c>
      <c r="G11" s="780">
        <v>7.6999999999999999E-2</v>
      </c>
      <c r="H11" s="779">
        <v>45153</v>
      </c>
      <c r="I11" s="652">
        <f t="shared" si="1"/>
        <v>31</v>
      </c>
      <c r="J11" s="659">
        <v>8.5500000000000007E-2</v>
      </c>
      <c r="K11" s="779">
        <v>45519</v>
      </c>
      <c r="L11" s="652">
        <f t="shared" si="2"/>
        <v>31</v>
      </c>
      <c r="M11" s="659">
        <v>8.9499999999999996E-2</v>
      </c>
    </row>
    <row r="12" spans="4:13" x14ac:dyDescent="0.25">
      <c r="D12" s="659" t="s">
        <v>838</v>
      </c>
      <c r="E12" s="779">
        <v>44819</v>
      </c>
      <c r="F12" s="652">
        <f t="shared" si="0"/>
        <v>30</v>
      </c>
      <c r="G12" s="780">
        <v>7.6999999999999999E-2</v>
      </c>
      <c r="H12" s="779">
        <v>45184</v>
      </c>
      <c r="I12" s="652">
        <f t="shared" si="1"/>
        <v>30</v>
      </c>
      <c r="J12" s="659">
        <v>8.5500000000000007E-2</v>
      </c>
      <c r="K12" s="779">
        <v>45550</v>
      </c>
      <c r="L12" s="652">
        <f t="shared" si="2"/>
        <v>30</v>
      </c>
      <c r="M12" s="659">
        <v>8.9499999999999996E-2</v>
      </c>
    </row>
    <row r="13" spans="4:13" x14ac:dyDescent="0.25">
      <c r="D13" s="659" t="s">
        <v>838</v>
      </c>
      <c r="E13" s="779">
        <v>44849</v>
      </c>
      <c r="F13" s="652">
        <f t="shared" si="0"/>
        <v>31</v>
      </c>
      <c r="G13" s="780">
        <v>7.9500000000000001E-2</v>
      </c>
      <c r="H13" s="779">
        <v>45214</v>
      </c>
      <c r="I13" s="652">
        <f t="shared" si="1"/>
        <v>31</v>
      </c>
      <c r="J13" s="659">
        <v>8.5500000000000007E-2</v>
      </c>
      <c r="K13" s="779">
        <v>45580</v>
      </c>
      <c r="L13" s="652">
        <f t="shared" si="2"/>
        <v>17</v>
      </c>
      <c r="M13" s="659">
        <v>8.9499999999999996E-2</v>
      </c>
    </row>
    <row r="14" spans="4:13" x14ac:dyDescent="0.25">
      <c r="D14" s="659" t="s">
        <v>838</v>
      </c>
      <c r="E14" s="779">
        <v>44880</v>
      </c>
      <c r="F14" s="652">
        <f t="shared" si="0"/>
        <v>30</v>
      </c>
      <c r="G14" s="780">
        <v>8.0500000000000002E-2</v>
      </c>
      <c r="H14" s="779">
        <v>45245</v>
      </c>
      <c r="I14" s="652">
        <f t="shared" si="1"/>
        <v>30</v>
      </c>
      <c r="J14" s="659">
        <v>8.5500000000000007E-2</v>
      </c>
      <c r="K14" s="779">
        <v>45597</v>
      </c>
      <c r="L14" s="652">
        <v>1</v>
      </c>
      <c r="M14" s="659">
        <v>8.9499999999999996E-2</v>
      </c>
    </row>
    <row r="15" spans="4:13" x14ac:dyDescent="0.25">
      <c r="D15" s="659" t="s">
        <v>838</v>
      </c>
      <c r="E15" s="779">
        <v>44910</v>
      </c>
      <c r="F15" s="652">
        <f t="shared" si="0"/>
        <v>31</v>
      </c>
      <c r="G15" s="780">
        <v>8.3000000000000004E-2</v>
      </c>
      <c r="H15" s="779">
        <v>45275</v>
      </c>
      <c r="I15" s="652">
        <f t="shared" si="1"/>
        <v>31</v>
      </c>
      <c r="J15" s="659">
        <v>8.6499999999999994E-2</v>
      </c>
      <c r="K15" s="779"/>
      <c r="L15" s="652">
        <f t="shared" si="2"/>
        <v>0</v>
      </c>
      <c r="M15" s="659"/>
    </row>
    <row r="16" spans="4:13" x14ac:dyDescent="0.25">
      <c r="D16" s="659" t="s">
        <v>838</v>
      </c>
      <c r="E16" s="779">
        <v>44941</v>
      </c>
      <c r="F16" s="652">
        <f t="shared" si="0"/>
        <v>31</v>
      </c>
      <c r="G16" s="780">
        <v>8.4000000000000005E-2</v>
      </c>
      <c r="H16" s="779">
        <v>45306</v>
      </c>
      <c r="I16" s="652">
        <f t="shared" si="1"/>
        <v>31</v>
      </c>
      <c r="J16" s="659">
        <v>8.6499999999999994E-2</v>
      </c>
      <c r="K16" s="779"/>
      <c r="L16" s="652">
        <f t="shared" si="2"/>
        <v>0</v>
      </c>
      <c r="M16" s="659"/>
    </row>
    <row r="17" spans="4:13" x14ac:dyDescent="0.25">
      <c r="D17" s="659" t="s">
        <v>838</v>
      </c>
      <c r="E17" s="779">
        <v>44972</v>
      </c>
      <c r="F17" s="652">
        <f t="shared" si="0"/>
        <v>28</v>
      </c>
      <c r="G17" s="780">
        <v>8.5000000000000006E-2</v>
      </c>
      <c r="H17" s="779">
        <v>45337</v>
      </c>
      <c r="I17" s="652">
        <f t="shared" si="1"/>
        <v>29</v>
      </c>
      <c r="J17" s="659">
        <v>8.6499999999999994E-2</v>
      </c>
      <c r="K17" s="779"/>
      <c r="L17" s="652">
        <f t="shared" si="2"/>
        <v>0</v>
      </c>
      <c r="M17" s="659"/>
    </row>
    <row r="18" spans="4:13" x14ac:dyDescent="0.25">
      <c r="D18" s="659" t="s">
        <v>838</v>
      </c>
      <c r="E18" s="779">
        <v>45000</v>
      </c>
      <c r="F18" s="652">
        <f t="shared" si="0"/>
        <v>16</v>
      </c>
      <c r="G18" s="780">
        <v>8.5000000000000006E-2</v>
      </c>
      <c r="H18" s="779">
        <v>45366</v>
      </c>
      <c r="I18" s="652">
        <f t="shared" si="1"/>
        <v>16</v>
      </c>
      <c r="J18" s="659">
        <v>8.6499999999999994E-2</v>
      </c>
      <c r="K18" s="779"/>
      <c r="L18" s="652">
        <f t="shared" si="2"/>
        <v>0</v>
      </c>
      <c r="M18" s="659"/>
    </row>
    <row r="19" spans="4:13" x14ac:dyDescent="0.25">
      <c r="D19" s="652" t="s">
        <v>839</v>
      </c>
      <c r="E19" s="779">
        <v>45016</v>
      </c>
      <c r="F19" s="652">
        <v>1</v>
      </c>
      <c r="G19" s="780">
        <v>8.5000000000000006E-2</v>
      </c>
      <c r="H19" s="779">
        <v>45382</v>
      </c>
      <c r="I19" s="652">
        <v>1</v>
      </c>
      <c r="J19" s="659">
        <v>8.6499999999999994E-2</v>
      </c>
      <c r="K19" s="779"/>
      <c r="L19" s="652">
        <v>1</v>
      </c>
      <c r="M19" s="659"/>
    </row>
    <row r="20" spans="4:13" x14ac:dyDescent="0.25">
      <c r="D20" s="781" t="s">
        <v>840</v>
      </c>
      <c r="E20" s="654"/>
      <c r="F20" s="654">
        <f>SUM(F6:F19)</f>
        <v>365</v>
      </c>
      <c r="G20" s="782">
        <f>SUMPRODUCT(F6:F19,G6:G19)/SUM(F6:F19)</f>
        <v>7.7987671232876712E-2</v>
      </c>
      <c r="H20" s="654"/>
      <c r="I20" s="654">
        <f>SUM(I6:I19)</f>
        <v>366</v>
      </c>
      <c r="J20" s="782">
        <f>SUMPRODUCT(I6:I19,J6:J19)/SUM(I6:I19)</f>
        <v>8.5651639344262315E-2</v>
      </c>
      <c r="K20" s="654"/>
      <c r="L20" s="654"/>
      <c r="M20" s="782"/>
    </row>
    <row r="21" spans="4:13" x14ac:dyDescent="0.25">
      <c r="D21" s="654" t="s">
        <v>841</v>
      </c>
      <c r="E21" s="654"/>
      <c r="F21" s="654"/>
      <c r="G21" s="782">
        <v>1.4999999999999999E-2</v>
      </c>
      <c r="H21" s="654"/>
      <c r="I21" s="654"/>
      <c r="J21" s="782">
        <v>1.4999999999999999E-2</v>
      </c>
      <c r="K21" s="654"/>
      <c r="L21" s="654"/>
      <c r="M21" s="782"/>
    </row>
    <row r="22" spans="4:13" x14ac:dyDescent="0.25">
      <c r="D22" s="782" t="s">
        <v>842</v>
      </c>
      <c r="E22" s="654"/>
      <c r="F22" s="654"/>
      <c r="G22" s="782">
        <f>G20+G21</f>
        <v>9.2987671232876712E-2</v>
      </c>
      <c r="H22" s="652"/>
      <c r="I22" s="652"/>
      <c r="J22" s="782">
        <f>J20+J21</f>
        <v>0.10065163934426231</v>
      </c>
      <c r="K22" s="652"/>
      <c r="L22" s="652"/>
      <c r="M22" s="782"/>
    </row>
    <row r="23" spans="4:13" x14ac:dyDescent="0.25">
      <c r="D23" s="913" t="s">
        <v>843</v>
      </c>
      <c r="E23" s="914"/>
      <c r="F23" s="914"/>
      <c r="G23" s="914"/>
      <c r="H23" s="652"/>
      <c r="I23" s="652"/>
      <c r="J23" s="652"/>
      <c r="K23" s="652"/>
      <c r="L23" s="652"/>
      <c r="M23" s="652"/>
    </row>
    <row r="26" spans="4:13" x14ac:dyDescent="0.25">
      <c r="D26" s="690"/>
    </row>
  </sheetData>
  <mergeCells count="6">
    <mergeCell ref="D23:G23"/>
    <mergeCell ref="D1:M1"/>
    <mergeCell ref="D3:M3"/>
    <mergeCell ref="E5:G5"/>
    <mergeCell ref="H5:J5"/>
    <mergeCell ref="K5:M5"/>
  </mergeCells>
  <hyperlinks>
    <hyperlink ref="D23" r:id="rId1" xr:uid="{1E6341DF-060B-4CAF-8AC1-92EB71F6DA38}"/>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I82"/>
  <sheetViews>
    <sheetView showGridLines="0" tabSelected="1" view="pageBreakPreview" zoomScale="60" zoomScaleNormal="80" workbookViewId="0">
      <selection activeCell="D45" sqref="D45"/>
    </sheetView>
  </sheetViews>
  <sheetFormatPr defaultColWidth="8.6640625" defaultRowHeight="13.8" x14ac:dyDescent="0.25"/>
  <cols>
    <col min="1" max="1" width="8.6640625" style="1"/>
    <col min="2" max="2" width="8.6640625" style="73"/>
    <col min="3" max="3" width="46.5546875" style="1" bestFit="1" customWidth="1"/>
    <col min="4" max="4" width="15.6640625" style="1" customWidth="1"/>
    <col min="5" max="5" width="14.6640625" style="1" customWidth="1"/>
    <col min="6" max="6" width="11.6640625" style="1" customWidth="1"/>
    <col min="7" max="7" width="14.6640625" style="1" customWidth="1"/>
    <col min="8" max="8" width="18.33203125" style="1" customWidth="1"/>
    <col min="9" max="9" width="14.5546875" style="1" customWidth="1"/>
    <col min="10" max="16384" width="8.6640625" style="1"/>
  </cols>
  <sheetData>
    <row r="2" spans="2:8" x14ac:dyDescent="0.25">
      <c r="B2" s="1020" t="str">
        <f>Index!$B$2</f>
        <v>JAIGAD POWER TRANSCO LIMITED (JPTL)</v>
      </c>
      <c r="C2" s="1020"/>
      <c r="D2" s="1020"/>
      <c r="E2" s="1020"/>
      <c r="F2" s="1020"/>
      <c r="G2" s="1020"/>
      <c r="H2" s="1020"/>
    </row>
    <row r="3" spans="2:8" x14ac:dyDescent="0.25">
      <c r="B3" s="965" t="s">
        <v>0</v>
      </c>
      <c r="C3" s="965"/>
      <c r="D3" s="965"/>
      <c r="E3" s="965"/>
      <c r="F3" s="965"/>
      <c r="G3" s="965"/>
      <c r="H3" s="965"/>
    </row>
    <row r="4" spans="2:8" x14ac:dyDescent="0.25">
      <c r="B4" s="1021" t="s">
        <v>190</v>
      </c>
      <c r="C4" s="1021"/>
      <c r="D4" s="1021"/>
      <c r="E4" s="1021"/>
      <c r="F4" s="1021"/>
      <c r="G4" s="1021"/>
      <c r="H4" s="1021"/>
    </row>
    <row r="5" spans="2:8" x14ac:dyDescent="0.25">
      <c r="B5" s="70"/>
      <c r="C5" s="73"/>
      <c r="D5" s="73"/>
      <c r="E5" s="73"/>
    </row>
    <row r="6" spans="2:8" x14ac:dyDescent="0.25">
      <c r="B6" s="70"/>
      <c r="C6" s="73"/>
      <c r="D6" s="73"/>
      <c r="E6" s="73"/>
      <c r="H6" s="70" t="s">
        <v>73</v>
      </c>
    </row>
    <row r="7" spans="2:8" s="19" customFormat="1" ht="28.5" customHeight="1" x14ac:dyDescent="0.25">
      <c r="B7" s="938" t="s">
        <v>1</v>
      </c>
      <c r="C7" s="943" t="s">
        <v>74</v>
      </c>
      <c r="D7" s="420" t="s">
        <v>75</v>
      </c>
      <c r="E7" s="298" t="s">
        <v>76</v>
      </c>
      <c r="F7" s="1022" t="s">
        <v>77</v>
      </c>
      <c r="G7" s="1019"/>
      <c r="H7" s="1019"/>
    </row>
    <row r="8" spans="2:8" s="19" customFormat="1" ht="39.75" customHeight="1" x14ac:dyDescent="0.25">
      <c r="B8" s="939"/>
      <c r="C8" s="943"/>
      <c r="D8" s="74" t="s">
        <v>81</v>
      </c>
      <c r="E8" s="74" t="s">
        <v>81</v>
      </c>
      <c r="F8" s="74" t="s">
        <v>83</v>
      </c>
      <c r="G8" s="74" t="s">
        <v>84</v>
      </c>
      <c r="H8" s="74" t="s">
        <v>85</v>
      </c>
    </row>
    <row r="9" spans="2:8" s="19" customFormat="1" ht="21.75" customHeight="1" x14ac:dyDescent="0.25">
      <c r="B9" s="956"/>
      <c r="C9" s="957"/>
      <c r="D9" s="74" t="s">
        <v>92</v>
      </c>
      <c r="E9" s="74" t="s">
        <v>93</v>
      </c>
      <c r="F9" s="74" t="s">
        <v>191</v>
      </c>
      <c r="G9" s="74" t="s">
        <v>192</v>
      </c>
      <c r="H9" s="74" t="s">
        <v>193</v>
      </c>
    </row>
    <row r="10" spans="2:8" x14ac:dyDescent="0.25">
      <c r="B10" s="46">
        <v>1</v>
      </c>
      <c r="C10" s="11" t="s">
        <v>194</v>
      </c>
      <c r="D10" s="580">
        <v>0.4695068</v>
      </c>
      <c r="E10" s="580">
        <v>0.51215060000000001</v>
      </c>
      <c r="F10" s="580">
        <v>0.2456914</v>
      </c>
      <c r="G10" s="580">
        <v>0.2456914</v>
      </c>
      <c r="H10" s="516">
        <f>F10+G10</f>
        <v>0.49138280000000001</v>
      </c>
    </row>
    <row r="11" spans="2:8" x14ac:dyDescent="0.25">
      <c r="B11" s="46">
        <f>+B10+1</f>
        <v>2</v>
      </c>
      <c r="C11" s="11" t="s">
        <v>195</v>
      </c>
      <c r="D11" s="580">
        <v>0.36228159999999998</v>
      </c>
      <c r="E11" s="580">
        <v>0.47474850000000002</v>
      </c>
      <c r="F11" s="580">
        <v>0.18519330000000001</v>
      </c>
      <c r="G11" s="580">
        <v>0.18519330000000001</v>
      </c>
      <c r="H11" s="516">
        <f t="shared" ref="H11:H32" si="0">F11+G11</f>
        <v>0.37038660000000001</v>
      </c>
    </row>
    <row r="12" spans="2:8" x14ac:dyDescent="0.25">
      <c r="B12" s="46">
        <f t="shared" ref="B12:B28" si="1">+B11+1</f>
        <v>3</v>
      </c>
      <c r="C12" s="26" t="s">
        <v>196</v>
      </c>
      <c r="D12" s="580">
        <v>8.5959599999999997E-2</v>
      </c>
      <c r="E12" s="580">
        <v>5.4475000000000003E-2</v>
      </c>
      <c r="F12" s="580">
        <v>0.1228422</v>
      </c>
      <c r="G12" s="580">
        <v>0.1228422</v>
      </c>
      <c r="H12" s="516">
        <f t="shared" si="0"/>
        <v>0.2456844</v>
      </c>
    </row>
    <row r="13" spans="2:8" x14ac:dyDescent="0.25">
      <c r="B13" s="46">
        <f t="shared" si="1"/>
        <v>4</v>
      </c>
      <c r="C13" s="11" t="s">
        <v>197</v>
      </c>
      <c r="D13" s="580">
        <v>6.3072000000000003E-2</v>
      </c>
      <c r="E13" s="580">
        <v>5.6866E-2</v>
      </c>
      <c r="F13" s="580">
        <v>2.75701E-2</v>
      </c>
      <c r="G13" s="580">
        <v>2.75701E-2</v>
      </c>
      <c r="H13" s="516">
        <f t="shared" si="0"/>
        <v>5.51402E-2</v>
      </c>
    </row>
    <row r="14" spans="2:8" x14ac:dyDescent="0.25">
      <c r="B14" s="46">
        <f t="shared" si="1"/>
        <v>5</v>
      </c>
      <c r="C14" s="11" t="s">
        <v>198</v>
      </c>
      <c r="D14" s="580">
        <v>1.8245999999999998E-2</v>
      </c>
      <c r="E14" s="580">
        <v>1.4125199999999999E-2</v>
      </c>
      <c r="F14" s="580">
        <v>7.0625999999999996E-3</v>
      </c>
      <c r="G14" s="580">
        <v>7.0625999999999996E-3</v>
      </c>
      <c r="H14" s="516">
        <f t="shared" si="0"/>
        <v>1.4125199999999999E-2</v>
      </c>
    </row>
    <row r="15" spans="2:8" x14ac:dyDescent="0.25">
      <c r="B15" s="46">
        <f t="shared" si="1"/>
        <v>6</v>
      </c>
      <c r="C15" s="26" t="s">
        <v>199</v>
      </c>
      <c r="D15" s="580">
        <v>1.4243599999999995E-2</v>
      </c>
      <c r="E15" s="580">
        <v>1.0344799999999999E-2</v>
      </c>
      <c r="F15" s="580">
        <v>5.1723999999999997E-3</v>
      </c>
      <c r="G15" s="580">
        <v>5.1723999999999997E-3</v>
      </c>
      <c r="H15" s="516">
        <f t="shared" si="0"/>
        <v>1.0344799999999999E-2</v>
      </c>
    </row>
    <row r="16" spans="2:8" x14ac:dyDescent="0.25">
      <c r="B16" s="46">
        <f t="shared" si="1"/>
        <v>7</v>
      </c>
      <c r="C16" s="11" t="s">
        <v>200</v>
      </c>
      <c r="D16" s="580">
        <v>4.2475600000000002E-2</v>
      </c>
      <c r="E16" s="580">
        <v>1.31436E-2</v>
      </c>
      <c r="F16" s="580">
        <v>6.5718E-3</v>
      </c>
      <c r="G16" s="580">
        <v>6.5718E-3</v>
      </c>
      <c r="H16" s="516">
        <f t="shared" si="0"/>
        <v>1.31436E-2</v>
      </c>
    </row>
    <row r="17" spans="2:8" x14ac:dyDescent="0.25">
      <c r="B17" s="46">
        <f t="shared" si="1"/>
        <v>8</v>
      </c>
      <c r="C17" s="11" t="s">
        <v>201</v>
      </c>
      <c r="D17" s="580">
        <v>1.43952E-2</v>
      </c>
      <c r="E17" s="580">
        <v>5.8307000000000003E-3</v>
      </c>
      <c r="F17" s="580">
        <v>2.9153500000000001E-3</v>
      </c>
      <c r="G17" s="580">
        <v>2.9153500000000001E-3</v>
      </c>
      <c r="H17" s="516">
        <f t="shared" si="0"/>
        <v>5.8307000000000003E-3</v>
      </c>
    </row>
    <row r="18" spans="2:8" x14ac:dyDescent="0.25">
      <c r="B18" s="46">
        <f t="shared" si="1"/>
        <v>9</v>
      </c>
      <c r="C18" s="11" t="s">
        <v>202</v>
      </c>
      <c r="D18" s="580">
        <v>0</v>
      </c>
      <c r="E18" s="580">
        <v>0</v>
      </c>
      <c r="F18" s="580">
        <v>0</v>
      </c>
      <c r="G18" s="580">
        <v>0</v>
      </c>
      <c r="H18" s="516">
        <f t="shared" si="0"/>
        <v>0</v>
      </c>
    </row>
    <row r="19" spans="2:8" x14ac:dyDescent="0.25">
      <c r="B19" s="46">
        <f t="shared" si="1"/>
        <v>10</v>
      </c>
      <c r="C19" s="11" t="s">
        <v>203</v>
      </c>
      <c r="D19" s="580">
        <v>0.39487809999999995</v>
      </c>
      <c r="E19" s="580">
        <v>0.43071119999999996</v>
      </c>
      <c r="F19" s="580">
        <v>0.15</v>
      </c>
      <c r="G19" s="580">
        <v>0.15</v>
      </c>
      <c r="H19" s="516">
        <f t="shared" si="0"/>
        <v>0.3</v>
      </c>
    </row>
    <row r="20" spans="2:8" x14ac:dyDescent="0.25">
      <c r="B20" s="46">
        <f t="shared" si="1"/>
        <v>11</v>
      </c>
      <c r="C20" s="11" t="s">
        <v>204</v>
      </c>
      <c r="D20" s="580">
        <v>0</v>
      </c>
      <c r="E20" s="580">
        <v>0</v>
      </c>
      <c r="F20" s="580">
        <v>0</v>
      </c>
      <c r="G20" s="580">
        <v>0</v>
      </c>
      <c r="H20" s="516">
        <f t="shared" si="0"/>
        <v>0</v>
      </c>
    </row>
    <row r="21" spans="2:8" x14ac:dyDescent="0.25">
      <c r="B21" s="46">
        <f t="shared" si="1"/>
        <v>12</v>
      </c>
      <c r="C21" s="11" t="s">
        <v>205</v>
      </c>
      <c r="D21" s="580">
        <v>3.1495558E-2</v>
      </c>
      <c r="E21" s="580">
        <v>7.7505999999999999E-3</v>
      </c>
      <c r="F21" s="580">
        <v>3.2336000000000001E-3</v>
      </c>
      <c r="G21" s="580">
        <v>3.2336000000000001E-3</v>
      </c>
      <c r="H21" s="516">
        <f t="shared" si="0"/>
        <v>6.4672000000000002E-3</v>
      </c>
    </row>
    <row r="22" spans="2:8" x14ac:dyDescent="0.25">
      <c r="B22" s="46">
        <f t="shared" si="1"/>
        <v>13</v>
      </c>
      <c r="C22" s="11" t="s">
        <v>206</v>
      </c>
      <c r="D22" s="580">
        <v>0</v>
      </c>
      <c r="E22" s="580">
        <v>0</v>
      </c>
      <c r="F22" s="580">
        <v>0</v>
      </c>
      <c r="G22" s="580">
        <v>0</v>
      </c>
      <c r="H22" s="516">
        <f t="shared" si="0"/>
        <v>0</v>
      </c>
    </row>
    <row r="23" spans="2:8" x14ac:dyDescent="0.25">
      <c r="B23" s="46">
        <f t="shared" si="1"/>
        <v>14</v>
      </c>
      <c r="C23" s="11" t="s">
        <v>207</v>
      </c>
      <c r="D23" s="580">
        <v>0</v>
      </c>
      <c r="E23" s="580">
        <v>0</v>
      </c>
      <c r="F23" s="580">
        <v>0</v>
      </c>
      <c r="G23" s="580">
        <v>0</v>
      </c>
      <c r="H23" s="516">
        <f t="shared" si="0"/>
        <v>0</v>
      </c>
    </row>
    <row r="24" spans="2:8" x14ac:dyDescent="0.25">
      <c r="B24" s="46">
        <f t="shared" si="1"/>
        <v>15</v>
      </c>
      <c r="C24" s="11" t="s">
        <v>208</v>
      </c>
      <c r="D24" s="580">
        <v>0</v>
      </c>
      <c r="E24" s="580">
        <v>0</v>
      </c>
      <c r="F24" s="580">
        <v>0</v>
      </c>
      <c r="G24" s="580">
        <v>0</v>
      </c>
      <c r="H24" s="516">
        <f t="shared" si="0"/>
        <v>0</v>
      </c>
    </row>
    <row r="25" spans="2:8" x14ac:dyDescent="0.25">
      <c r="B25" s="46">
        <f t="shared" si="1"/>
        <v>16</v>
      </c>
      <c r="C25" s="11" t="s">
        <v>209</v>
      </c>
      <c r="D25" s="580">
        <v>0</v>
      </c>
      <c r="E25" s="580">
        <v>0</v>
      </c>
      <c r="F25" s="580">
        <v>0</v>
      </c>
      <c r="G25" s="580">
        <v>0</v>
      </c>
      <c r="H25" s="516">
        <f t="shared" si="0"/>
        <v>0</v>
      </c>
    </row>
    <row r="26" spans="2:8" x14ac:dyDescent="0.25">
      <c r="B26" s="46">
        <f t="shared" si="1"/>
        <v>17</v>
      </c>
      <c r="C26" s="11" t="s">
        <v>210</v>
      </c>
      <c r="D26" s="580">
        <v>0</v>
      </c>
      <c r="E26" s="580">
        <v>0</v>
      </c>
      <c r="F26" s="580">
        <v>0</v>
      </c>
      <c r="G26" s="580">
        <v>0</v>
      </c>
      <c r="H26" s="516">
        <f t="shared" si="0"/>
        <v>0</v>
      </c>
    </row>
    <row r="27" spans="2:8" x14ac:dyDescent="0.25">
      <c r="B27" s="46">
        <f t="shared" si="1"/>
        <v>18</v>
      </c>
      <c r="C27" s="11" t="s">
        <v>880</v>
      </c>
      <c r="D27" s="580">
        <v>2.4284500000000001E-2</v>
      </c>
      <c r="E27" s="580">
        <v>2.10114E-2</v>
      </c>
      <c r="F27" s="580">
        <v>1.74209E-2</v>
      </c>
      <c r="G27" s="580">
        <v>1.74209E-2</v>
      </c>
      <c r="H27" s="516">
        <f t="shared" ref="H27" si="2">F27+G27</f>
        <v>3.4841799999999999E-2</v>
      </c>
    </row>
    <row r="28" spans="2:8" x14ac:dyDescent="0.25">
      <c r="B28" s="46">
        <f t="shared" si="1"/>
        <v>19</v>
      </c>
      <c r="C28" s="11" t="s">
        <v>211</v>
      </c>
      <c r="D28" s="580">
        <f>SUM(D29:D32)</f>
        <v>8.2919899999999991E-2</v>
      </c>
      <c r="E28" s="580">
        <f t="shared" ref="E28:G28" si="3">SUM(E29:E32)</f>
        <v>7.4417199999999989E-2</v>
      </c>
      <c r="F28" s="580">
        <f t="shared" si="3"/>
        <v>4.3135899999999998E-2</v>
      </c>
      <c r="G28" s="580">
        <f t="shared" si="3"/>
        <v>4.3135899999999998E-2</v>
      </c>
      <c r="H28" s="580">
        <f t="shared" ref="H28" si="4">SUM(H29:H32)</f>
        <v>8.6271799999999996E-2</v>
      </c>
    </row>
    <row r="29" spans="2:8" x14ac:dyDescent="0.25">
      <c r="B29" s="46">
        <f>+B28+0.1</f>
        <v>19.100000000000001</v>
      </c>
      <c r="C29" s="11" t="s">
        <v>212</v>
      </c>
      <c r="D29" s="580">
        <v>6.11412E-2</v>
      </c>
      <c r="E29" s="580">
        <v>5.7859099999999997E-2</v>
      </c>
      <c r="F29" s="580">
        <v>3.1081000000000001E-2</v>
      </c>
      <c r="G29" s="580">
        <v>3.1081000000000001E-2</v>
      </c>
      <c r="H29" s="516">
        <f t="shared" si="0"/>
        <v>6.2162000000000002E-2</v>
      </c>
    </row>
    <row r="30" spans="2:8" x14ac:dyDescent="0.25">
      <c r="B30" s="46">
        <f>+B29+0.1</f>
        <v>19.200000000000003</v>
      </c>
      <c r="C30" s="11" t="s">
        <v>213</v>
      </c>
      <c r="D30" s="580">
        <v>0</v>
      </c>
      <c r="E30" s="580">
        <v>0</v>
      </c>
      <c r="F30" s="580">
        <v>0</v>
      </c>
      <c r="G30" s="580">
        <v>0</v>
      </c>
      <c r="H30" s="516">
        <f t="shared" si="0"/>
        <v>0</v>
      </c>
    </row>
    <row r="31" spans="2:8" x14ac:dyDescent="0.25">
      <c r="B31" s="46">
        <f>+B30+0.1</f>
        <v>19.300000000000004</v>
      </c>
      <c r="C31" s="11" t="s">
        <v>214</v>
      </c>
      <c r="D31" s="580">
        <v>1.4334E-2</v>
      </c>
      <c r="E31" s="580">
        <v>9.7514000000000003E-3</v>
      </c>
      <c r="F31" s="580">
        <v>5.2662999999999998E-3</v>
      </c>
      <c r="G31" s="580">
        <v>5.2662999999999998E-3</v>
      </c>
      <c r="H31" s="516">
        <f t="shared" si="0"/>
        <v>1.05326E-2</v>
      </c>
    </row>
    <row r="32" spans="2:8" x14ac:dyDescent="0.25">
      <c r="B32" s="46">
        <f>+B31+0.1</f>
        <v>19.400000000000006</v>
      </c>
      <c r="C32" s="11" t="s">
        <v>215</v>
      </c>
      <c r="D32" s="580">
        <v>7.4447000000000003E-3</v>
      </c>
      <c r="E32" s="580">
        <v>6.8066999999999989E-3</v>
      </c>
      <c r="F32" s="580">
        <v>6.7885999999999997E-3</v>
      </c>
      <c r="G32" s="580">
        <v>6.7885999999999997E-3</v>
      </c>
      <c r="H32" s="516">
        <f t="shared" si="0"/>
        <v>1.3577199999999999E-2</v>
      </c>
    </row>
    <row r="33" spans="2:9" x14ac:dyDescent="0.25">
      <c r="B33" s="46">
        <v>19</v>
      </c>
      <c r="C33" s="11" t="s">
        <v>879</v>
      </c>
      <c r="D33" s="580">
        <v>0.12625700000000001</v>
      </c>
      <c r="E33" s="580">
        <v>0.13169420000000001</v>
      </c>
      <c r="F33" s="580">
        <v>6.56722E-2</v>
      </c>
      <c r="G33" s="580">
        <v>6.56722E-2</v>
      </c>
      <c r="H33" s="516">
        <f t="shared" ref="H33" si="5">F33+G33</f>
        <v>0.1313444</v>
      </c>
    </row>
    <row r="34" spans="2:9" x14ac:dyDescent="0.25">
      <c r="B34" s="97">
        <v>20</v>
      </c>
      <c r="C34" s="125" t="s">
        <v>217</v>
      </c>
      <c r="D34" s="852">
        <f>SUM(D10:D28)+D33</f>
        <v>1.730015458</v>
      </c>
      <c r="E34" s="852">
        <f t="shared" ref="E34:H34" si="6">SUM(E10:E28)+E33</f>
        <v>1.8072690000000002</v>
      </c>
      <c r="F34" s="852">
        <f t="shared" si="6"/>
        <v>0.88248174999999995</v>
      </c>
      <c r="G34" s="852">
        <f t="shared" si="6"/>
        <v>0.88248174999999995</v>
      </c>
      <c r="H34" s="852">
        <f t="shared" si="6"/>
        <v>1.7649634999999999</v>
      </c>
    </row>
    <row r="35" spans="2:9" x14ac:dyDescent="0.25">
      <c r="B35" s="46">
        <v>21</v>
      </c>
      <c r="C35" s="11" t="s">
        <v>218</v>
      </c>
      <c r="D35" s="11"/>
      <c r="E35" s="26"/>
      <c r="F35" s="26"/>
      <c r="G35" s="26"/>
      <c r="H35" s="26"/>
      <c r="I35" s="581"/>
    </row>
    <row r="36" spans="2:9" x14ac:dyDescent="0.25">
      <c r="B36" s="97">
        <v>21</v>
      </c>
      <c r="C36" s="30" t="s">
        <v>219</v>
      </c>
      <c r="D36" s="575">
        <f>+D34-D35</f>
        <v>1.730015458</v>
      </c>
      <c r="E36" s="575">
        <f t="shared" ref="E36:H36" si="7">+E34-E35</f>
        <v>1.8072690000000002</v>
      </c>
      <c r="F36" s="575">
        <f t="shared" si="7"/>
        <v>0.88248174999999995</v>
      </c>
      <c r="G36" s="575">
        <f t="shared" si="7"/>
        <v>0.88248174999999995</v>
      </c>
      <c r="H36" s="575">
        <f t="shared" si="7"/>
        <v>1.7649634999999999</v>
      </c>
    </row>
    <row r="38" spans="2:9" x14ac:dyDescent="0.25">
      <c r="B38" s="25" t="s">
        <v>220</v>
      </c>
      <c r="C38" s="19"/>
      <c r="D38" s="19"/>
      <c r="E38" s="19"/>
      <c r="F38" s="19"/>
      <c r="G38" s="19"/>
    </row>
    <row r="39" spans="2:9" x14ac:dyDescent="0.25">
      <c r="B39" s="19"/>
      <c r="C39" s="19"/>
      <c r="D39" s="19"/>
      <c r="E39" s="19"/>
      <c r="F39" s="19"/>
      <c r="G39" s="19"/>
      <c r="H39" s="70" t="s">
        <v>221</v>
      </c>
    </row>
    <row r="40" spans="2:9" s="19" customFormat="1" ht="28.5" customHeight="1" x14ac:dyDescent="0.25">
      <c r="B40" s="938" t="s">
        <v>1</v>
      </c>
      <c r="C40" s="943" t="s">
        <v>74</v>
      </c>
      <c r="D40" s="420" t="s">
        <v>75</v>
      </c>
      <c r="E40" s="298" t="s">
        <v>76</v>
      </c>
      <c r="F40" s="1022" t="s">
        <v>77</v>
      </c>
      <c r="G40" s="1019"/>
      <c r="H40" s="1019"/>
    </row>
    <row r="41" spans="2:9" s="19" customFormat="1" ht="27.6" x14ac:dyDescent="0.25">
      <c r="B41" s="939"/>
      <c r="C41" s="943"/>
      <c r="D41" s="74" t="s">
        <v>81</v>
      </c>
      <c r="E41" s="74" t="s">
        <v>81</v>
      </c>
      <c r="F41" s="74" t="s">
        <v>83</v>
      </c>
      <c r="G41" s="74" t="s">
        <v>84</v>
      </c>
      <c r="H41" s="74" t="s">
        <v>85</v>
      </c>
    </row>
    <row r="42" spans="2:9" s="19" customFormat="1" ht="21.75" customHeight="1" x14ac:dyDescent="0.25">
      <c r="B42" s="956"/>
      <c r="C42" s="957"/>
      <c r="D42" s="74" t="s">
        <v>92</v>
      </c>
      <c r="E42" s="74" t="s">
        <v>93</v>
      </c>
      <c r="F42" s="74" t="s">
        <v>191</v>
      </c>
      <c r="G42" s="74" t="s">
        <v>192</v>
      </c>
      <c r="H42" s="74" t="s">
        <v>193</v>
      </c>
    </row>
    <row r="43" spans="2:9" x14ac:dyDescent="0.25">
      <c r="B43" s="26"/>
      <c r="C43" s="26"/>
      <c r="D43" s="26"/>
      <c r="E43" s="26"/>
      <c r="F43" s="26"/>
      <c r="G43" s="26"/>
      <c r="H43" s="26"/>
      <c r="I43" s="19"/>
    </row>
    <row r="44" spans="2:9" x14ac:dyDescent="0.25">
      <c r="B44" s="97" t="s">
        <v>153</v>
      </c>
      <c r="C44" s="30" t="s">
        <v>222</v>
      </c>
      <c r="D44" s="30"/>
      <c r="E44" s="30"/>
      <c r="F44" s="30"/>
      <c r="G44" s="26"/>
      <c r="H44" s="26"/>
      <c r="I44" s="19"/>
    </row>
    <row r="45" spans="2:9" x14ac:dyDescent="0.25">
      <c r="B45" s="106">
        <v>1</v>
      </c>
      <c r="C45" s="152" t="s">
        <v>223</v>
      </c>
      <c r="D45" s="589">
        <v>6</v>
      </c>
      <c r="E45" s="589">
        <v>6</v>
      </c>
      <c r="F45" s="589">
        <v>6</v>
      </c>
      <c r="G45" s="589">
        <v>6</v>
      </c>
      <c r="H45" s="589">
        <v>6</v>
      </c>
      <c r="I45" s="19"/>
    </row>
    <row r="46" spans="2:9" x14ac:dyDescent="0.25">
      <c r="B46" s="106">
        <v>2</v>
      </c>
      <c r="C46" s="152" t="s">
        <v>224</v>
      </c>
      <c r="D46" s="589">
        <v>0</v>
      </c>
      <c r="E46" s="589">
        <v>0</v>
      </c>
      <c r="F46" s="589">
        <v>0</v>
      </c>
      <c r="G46" s="589">
        <v>0</v>
      </c>
      <c r="H46" s="589">
        <v>0</v>
      </c>
      <c r="I46" s="19"/>
    </row>
    <row r="47" spans="2:9" x14ac:dyDescent="0.25">
      <c r="B47" s="106">
        <v>3</v>
      </c>
      <c r="C47" s="152" t="s">
        <v>225</v>
      </c>
      <c r="D47" s="589">
        <v>1</v>
      </c>
      <c r="E47" s="589">
        <v>1</v>
      </c>
      <c r="F47" s="589">
        <v>1</v>
      </c>
      <c r="G47" s="589">
        <v>1</v>
      </c>
      <c r="H47" s="589">
        <v>1</v>
      </c>
      <c r="I47" s="19"/>
    </row>
    <row r="48" spans="2:9" x14ac:dyDescent="0.25">
      <c r="B48" s="106">
        <v>4</v>
      </c>
      <c r="C48" s="152" t="s">
        <v>226</v>
      </c>
      <c r="D48" s="589">
        <v>0</v>
      </c>
      <c r="E48" s="589">
        <v>0</v>
      </c>
      <c r="F48" s="589">
        <v>0</v>
      </c>
      <c r="G48" s="589">
        <v>0</v>
      </c>
      <c r="H48" s="589">
        <v>0</v>
      </c>
      <c r="I48" s="19"/>
    </row>
    <row r="49" spans="2:9" x14ac:dyDescent="0.25">
      <c r="B49" s="106"/>
      <c r="C49" s="152"/>
      <c r="D49" s="152"/>
      <c r="E49" s="152"/>
      <c r="F49" s="152"/>
      <c r="G49" s="26"/>
      <c r="H49" s="26"/>
      <c r="I49" s="19"/>
    </row>
    <row r="50" spans="2:9" x14ac:dyDescent="0.25">
      <c r="B50" s="153" t="s">
        <v>162</v>
      </c>
      <c r="C50" s="154" t="s">
        <v>227</v>
      </c>
      <c r="D50" s="154"/>
      <c r="E50" s="154"/>
      <c r="F50" s="154"/>
      <c r="G50" s="26"/>
      <c r="H50" s="26"/>
      <c r="I50" s="19"/>
    </row>
    <row r="51" spans="2:9" x14ac:dyDescent="0.25">
      <c r="B51" s="106">
        <v>5</v>
      </c>
      <c r="C51" s="154" t="s">
        <v>223</v>
      </c>
      <c r="D51" s="154"/>
      <c r="E51" s="154"/>
      <c r="F51" s="154"/>
      <c r="G51" s="26"/>
      <c r="H51" s="26"/>
      <c r="I51" s="19"/>
    </row>
    <row r="52" spans="2:9" x14ac:dyDescent="0.25">
      <c r="B52" s="106">
        <f>+B51+0.1</f>
        <v>5.0999999999999996</v>
      </c>
      <c r="C52" s="152" t="s">
        <v>228</v>
      </c>
      <c r="D52" s="589">
        <v>1</v>
      </c>
      <c r="E52" s="589">
        <v>1</v>
      </c>
      <c r="F52" s="589">
        <v>1</v>
      </c>
      <c r="G52" s="589">
        <v>1</v>
      </c>
      <c r="H52" s="589">
        <v>1</v>
      </c>
      <c r="I52" s="19"/>
    </row>
    <row r="53" spans="2:9" x14ac:dyDescent="0.25">
      <c r="B53" s="106">
        <f>+B52+0.1</f>
        <v>5.1999999999999993</v>
      </c>
      <c r="C53" s="152" t="s">
        <v>229</v>
      </c>
      <c r="D53" s="589">
        <v>2</v>
      </c>
      <c r="E53" s="589">
        <v>2</v>
      </c>
      <c r="F53" s="589">
        <v>2</v>
      </c>
      <c r="G53" s="589">
        <v>2</v>
      </c>
      <c r="H53" s="589">
        <v>2</v>
      </c>
      <c r="I53" s="19"/>
    </row>
    <row r="54" spans="2:9" x14ac:dyDescent="0.25">
      <c r="B54" s="106">
        <f>+B53+0.1</f>
        <v>5.2999999999999989</v>
      </c>
      <c r="C54" s="152" t="s">
        <v>230</v>
      </c>
      <c r="D54" s="589">
        <v>3</v>
      </c>
      <c r="E54" s="589">
        <v>3</v>
      </c>
      <c r="F54" s="589">
        <v>3</v>
      </c>
      <c r="G54" s="589">
        <v>3</v>
      </c>
      <c r="H54" s="589">
        <v>3</v>
      </c>
      <c r="I54" s="19"/>
    </row>
    <row r="55" spans="2:9" x14ac:dyDescent="0.25">
      <c r="B55" s="106">
        <f>+B54+0.1</f>
        <v>5.3999999999999986</v>
      </c>
      <c r="C55" s="152" t="s">
        <v>231</v>
      </c>
      <c r="D55" s="589">
        <v>0</v>
      </c>
      <c r="E55" s="589">
        <v>0</v>
      </c>
      <c r="F55" s="589">
        <v>0</v>
      </c>
      <c r="G55" s="589">
        <v>0</v>
      </c>
      <c r="H55" s="589">
        <v>0</v>
      </c>
      <c r="I55" s="19"/>
    </row>
    <row r="56" spans="2:9" x14ac:dyDescent="0.25">
      <c r="B56" s="106"/>
      <c r="C56" s="152"/>
      <c r="D56" s="152"/>
      <c r="E56" s="152"/>
      <c r="F56" s="152"/>
      <c r="G56" s="26"/>
      <c r="H56" s="26"/>
      <c r="I56" s="19"/>
    </row>
    <row r="57" spans="2:9" x14ac:dyDescent="0.25">
      <c r="B57" s="106">
        <v>6</v>
      </c>
      <c r="C57" s="154" t="s">
        <v>224</v>
      </c>
      <c r="D57" s="154"/>
      <c r="E57" s="154"/>
      <c r="F57" s="154"/>
      <c r="G57" s="26"/>
      <c r="H57" s="26"/>
      <c r="I57" s="19"/>
    </row>
    <row r="58" spans="2:9" x14ac:dyDescent="0.25">
      <c r="B58" s="106">
        <f>+B57+0.1</f>
        <v>6.1</v>
      </c>
      <c r="C58" s="152" t="s">
        <v>228</v>
      </c>
      <c r="D58" s="589">
        <v>0</v>
      </c>
      <c r="E58" s="589">
        <v>0</v>
      </c>
      <c r="F58" s="589">
        <v>0</v>
      </c>
      <c r="G58" s="589">
        <v>0</v>
      </c>
      <c r="H58" s="589">
        <v>0</v>
      </c>
      <c r="I58" s="19"/>
    </row>
    <row r="59" spans="2:9" x14ac:dyDescent="0.25">
      <c r="B59" s="106">
        <f>+B58+0.1</f>
        <v>6.1999999999999993</v>
      </c>
      <c r="C59" s="152" t="s">
        <v>229</v>
      </c>
      <c r="D59" s="589">
        <v>0</v>
      </c>
      <c r="E59" s="589">
        <v>0</v>
      </c>
      <c r="F59" s="589">
        <v>0</v>
      </c>
      <c r="G59" s="589">
        <v>0</v>
      </c>
      <c r="H59" s="589">
        <v>0</v>
      </c>
      <c r="I59" s="19"/>
    </row>
    <row r="60" spans="2:9" x14ac:dyDescent="0.25">
      <c r="B60" s="106">
        <f>+B59+0.1</f>
        <v>6.2999999999999989</v>
      </c>
      <c r="C60" s="152" t="s">
        <v>230</v>
      </c>
      <c r="D60" s="589">
        <v>0</v>
      </c>
      <c r="E60" s="589">
        <v>0</v>
      </c>
      <c r="F60" s="589">
        <v>0</v>
      </c>
      <c r="G60" s="589">
        <v>0</v>
      </c>
      <c r="H60" s="589">
        <v>0</v>
      </c>
      <c r="I60" s="19"/>
    </row>
    <row r="61" spans="2:9" x14ac:dyDescent="0.25">
      <c r="B61" s="106">
        <f>+B60+0.1</f>
        <v>6.3999999999999986</v>
      </c>
      <c r="C61" s="152" t="s">
        <v>231</v>
      </c>
      <c r="D61" s="589">
        <v>0</v>
      </c>
      <c r="E61" s="589">
        <v>0</v>
      </c>
      <c r="F61" s="589">
        <v>0</v>
      </c>
      <c r="G61" s="589">
        <v>0</v>
      </c>
      <c r="H61" s="589">
        <v>0</v>
      </c>
      <c r="I61" s="19"/>
    </row>
    <row r="62" spans="2:9" x14ac:dyDescent="0.25">
      <c r="B62" s="106"/>
      <c r="C62" s="152"/>
      <c r="D62" s="152"/>
      <c r="E62" s="152"/>
      <c r="F62" s="152"/>
      <c r="G62" s="31"/>
      <c r="H62" s="26"/>
      <c r="I62" s="19"/>
    </row>
    <row r="63" spans="2:9" x14ac:dyDescent="0.25">
      <c r="B63" s="106">
        <v>7</v>
      </c>
      <c r="C63" s="154" t="s">
        <v>225</v>
      </c>
      <c r="D63" s="154"/>
      <c r="E63" s="154"/>
      <c r="F63" s="154"/>
      <c r="G63" s="31"/>
      <c r="H63" s="26"/>
      <c r="I63" s="19"/>
    </row>
    <row r="64" spans="2:9" x14ac:dyDescent="0.25">
      <c r="B64" s="106">
        <f>+B63+0.1</f>
        <v>7.1</v>
      </c>
      <c r="C64" s="152" t="s">
        <v>228</v>
      </c>
      <c r="D64" s="589">
        <v>0</v>
      </c>
      <c r="E64" s="589">
        <v>0</v>
      </c>
      <c r="F64" s="589">
        <v>0</v>
      </c>
      <c r="G64" s="589">
        <v>0</v>
      </c>
      <c r="H64" s="589">
        <v>0</v>
      </c>
      <c r="I64" s="19"/>
    </row>
    <row r="65" spans="2:9" x14ac:dyDescent="0.25">
      <c r="B65" s="106">
        <f>+B64+0.1</f>
        <v>7.1999999999999993</v>
      </c>
      <c r="C65" s="152" t="s">
        <v>229</v>
      </c>
      <c r="D65" s="589">
        <v>1</v>
      </c>
      <c r="E65" s="589">
        <v>1</v>
      </c>
      <c r="F65" s="589">
        <v>1</v>
      </c>
      <c r="G65" s="589">
        <v>1</v>
      </c>
      <c r="H65" s="589">
        <v>1</v>
      </c>
      <c r="I65" s="19"/>
    </row>
    <row r="66" spans="2:9" x14ac:dyDescent="0.25">
      <c r="B66" s="106">
        <f>+B65+0.1</f>
        <v>7.2999999999999989</v>
      </c>
      <c r="C66" s="152" t="s">
        <v>230</v>
      </c>
      <c r="D66" s="589">
        <v>0</v>
      </c>
      <c r="E66" s="589">
        <v>0</v>
      </c>
      <c r="F66" s="589">
        <v>0</v>
      </c>
      <c r="G66" s="589">
        <v>0</v>
      </c>
      <c r="H66" s="589">
        <v>0</v>
      </c>
      <c r="I66" s="19"/>
    </row>
    <row r="67" spans="2:9" x14ac:dyDescent="0.25">
      <c r="B67" s="106">
        <f>+B66+0.1</f>
        <v>7.3999999999999986</v>
      </c>
      <c r="C67" s="152" t="s">
        <v>231</v>
      </c>
      <c r="D67" s="589">
        <v>0</v>
      </c>
      <c r="E67" s="589">
        <v>0</v>
      </c>
      <c r="F67" s="589">
        <v>0</v>
      </c>
      <c r="G67" s="589">
        <v>0</v>
      </c>
      <c r="H67" s="589">
        <v>0</v>
      </c>
      <c r="I67" s="19"/>
    </row>
    <row r="68" spans="2:9" x14ac:dyDescent="0.25">
      <c r="B68" s="106"/>
      <c r="C68" s="152"/>
      <c r="D68" s="152"/>
      <c r="E68" s="152"/>
      <c r="F68" s="152"/>
      <c r="G68" s="31"/>
      <c r="H68" s="26"/>
      <c r="I68" s="19"/>
    </row>
    <row r="69" spans="2:9" x14ac:dyDescent="0.25">
      <c r="B69" s="106">
        <v>8</v>
      </c>
      <c r="C69" s="154" t="s">
        <v>232</v>
      </c>
      <c r="D69" s="154"/>
      <c r="E69" s="154"/>
      <c r="F69" s="154"/>
      <c r="G69" s="26"/>
      <c r="H69" s="26"/>
      <c r="I69" s="19"/>
    </row>
    <row r="70" spans="2:9" x14ac:dyDescent="0.25">
      <c r="B70" s="106">
        <f>+B69+0.1</f>
        <v>8.1</v>
      </c>
      <c r="C70" s="152" t="s">
        <v>228</v>
      </c>
      <c r="D70" s="589">
        <v>0</v>
      </c>
      <c r="E70" s="589">
        <v>0</v>
      </c>
      <c r="F70" s="589">
        <v>0</v>
      </c>
      <c r="G70" s="589">
        <v>0</v>
      </c>
      <c r="H70" s="589">
        <v>0</v>
      </c>
      <c r="I70" s="19"/>
    </row>
    <row r="71" spans="2:9" x14ac:dyDescent="0.25">
      <c r="B71" s="106">
        <f>+B70+0.1</f>
        <v>8.1999999999999993</v>
      </c>
      <c r="C71" s="152" t="s">
        <v>229</v>
      </c>
      <c r="D71" s="589">
        <v>0</v>
      </c>
      <c r="E71" s="589">
        <v>0</v>
      </c>
      <c r="F71" s="589">
        <v>0</v>
      </c>
      <c r="G71" s="589">
        <v>0</v>
      </c>
      <c r="H71" s="589">
        <v>0</v>
      </c>
      <c r="I71" s="19"/>
    </row>
    <row r="72" spans="2:9" x14ac:dyDescent="0.25">
      <c r="B72" s="106">
        <f>+B71+0.1</f>
        <v>8.2999999999999989</v>
      </c>
      <c r="C72" s="152" t="s">
        <v>230</v>
      </c>
      <c r="D72" s="589">
        <v>0</v>
      </c>
      <c r="E72" s="589">
        <v>0</v>
      </c>
      <c r="F72" s="589">
        <v>0</v>
      </c>
      <c r="G72" s="589">
        <v>0</v>
      </c>
      <c r="H72" s="589">
        <v>0</v>
      </c>
      <c r="I72" s="19"/>
    </row>
    <row r="73" spans="2:9" x14ac:dyDescent="0.25">
      <c r="B73" s="106">
        <f>+B72+0.1</f>
        <v>8.3999999999999986</v>
      </c>
      <c r="C73" s="152" t="s">
        <v>231</v>
      </c>
      <c r="D73" s="589">
        <v>0</v>
      </c>
      <c r="E73" s="589">
        <v>0</v>
      </c>
      <c r="F73" s="589">
        <v>0</v>
      </c>
      <c r="G73" s="589">
        <v>0</v>
      </c>
      <c r="H73" s="589">
        <v>0</v>
      </c>
      <c r="I73" s="19"/>
    </row>
    <row r="74" spans="2:9" x14ac:dyDescent="0.25">
      <c r="B74" s="155"/>
      <c r="C74" s="156" t="s">
        <v>233</v>
      </c>
      <c r="D74" s="590">
        <f>SUM(D45:D48)</f>
        <v>7</v>
      </c>
      <c r="E74" s="590">
        <f t="shared" ref="E74:H74" si="8">SUM(E45:E48)</f>
        <v>7</v>
      </c>
      <c r="F74" s="590">
        <f t="shared" si="8"/>
        <v>7</v>
      </c>
      <c r="G74" s="590">
        <f t="shared" si="8"/>
        <v>7</v>
      </c>
      <c r="H74" s="590">
        <f t="shared" si="8"/>
        <v>7</v>
      </c>
      <c r="I74" s="19"/>
    </row>
    <row r="75" spans="2:9" x14ac:dyDescent="0.25">
      <c r="I75" s="19"/>
    </row>
    <row r="76" spans="2:9" x14ac:dyDescent="0.25">
      <c r="I76" s="19"/>
    </row>
    <row r="77" spans="2:9" x14ac:dyDescent="0.25">
      <c r="I77" s="19"/>
    </row>
    <row r="78" spans="2:9" x14ac:dyDescent="0.25">
      <c r="I78" s="19"/>
    </row>
    <row r="79" spans="2:9" x14ac:dyDescent="0.25">
      <c r="I79" s="19"/>
    </row>
    <row r="80" spans="2:9" x14ac:dyDescent="0.25">
      <c r="I80" s="19"/>
    </row>
    <row r="81" spans="9:9" x14ac:dyDescent="0.25">
      <c r="I81" s="19"/>
    </row>
    <row r="82" spans="9:9" x14ac:dyDescent="0.25">
      <c r="I82" s="19"/>
    </row>
  </sheetData>
  <mergeCells count="9">
    <mergeCell ref="B2:H2"/>
    <mergeCell ref="B3:H3"/>
    <mergeCell ref="B4:H4"/>
    <mergeCell ref="B40:B42"/>
    <mergeCell ref="C40:C42"/>
    <mergeCell ref="F40:H40"/>
    <mergeCell ref="F7:H7"/>
    <mergeCell ref="B7:B9"/>
    <mergeCell ref="C7:C9"/>
  </mergeCells>
  <pageMargins left="0.35433070866141736" right="0.23622047244094491" top="0.47244094488188981" bottom="0.47244094488188981" header="0.23622047244094491" footer="0.23622047244094491"/>
  <pageSetup paperSize="9" fitToHeight="2" orientation="landscape" r:id="rId1"/>
  <headerFooter alignWithMargins="0"/>
  <rowBreaks count="1" manualBreakCount="1">
    <brk id="37" min="1" max="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L40"/>
  <sheetViews>
    <sheetView showGridLines="0" view="pageBreakPreview" zoomScale="60" zoomScaleNormal="80" workbookViewId="0">
      <selection activeCell="N21" sqref="N21"/>
    </sheetView>
  </sheetViews>
  <sheetFormatPr defaultColWidth="8.6640625" defaultRowHeight="13.8" x14ac:dyDescent="0.25"/>
  <cols>
    <col min="1" max="1" width="8.6640625" style="1"/>
    <col min="2" max="2" width="8.6640625" style="73"/>
    <col min="3" max="3" width="49.33203125" style="1" bestFit="1" customWidth="1"/>
    <col min="4" max="4" width="13.5546875" style="1" customWidth="1"/>
    <col min="5" max="5" width="16.44140625" style="1" customWidth="1"/>
    <col min="6" max="7" width="13.5546875" style="1" customWidth="1"/>
    <col min="8" max="8" width="15.6640625" style="1" customWidth="1"/>
    <col min="9" max="9" width="13.33203125" style="1" customWidth="1"/>
    <col min="10" max="10" width="12.5546875" style="1" customWidth="1"/>
    <col min="11" max="11" width="15.33203125" style="1" customWidth="1"/>
    <col min="12" max="12" width="20.33203125" style="1" customWidth="1"/>
    <col min="13" max="16384" width="8.6640625" style="1"/>
  </cols>
  <sheetData>
    <row r="2" spans="2:12" x14ac:dyDescent="0.25">
      <c r="B2" s="1020" t="str">
        <f>Index!$B$2</f>
        <v>JAIGAD POWER TRANSCO LIMITED (JPTL)</v>
      </c>
      <c r="C2" s="1020"/>
      <c r="D2" s="1020"/>
      <c r="E2" s="1020"/>
      <c r="F2" s="1020"/>
      <c r="G2" s="1020"/>
      <c r="H2" s="1020"/>
    </row>
    <row r="3" spans="2:12" x14ac:dyDescent="0.25">
      <c r="B3" s="965" t="s">
        <v>0</v>
      </c>
      <c r="C3" s="965"/>
      <c r="D3" s="965"/>
      <c r="E3" s="965"/>
      <c r="F3" s="965"/>
      <c r="G3" s="965"/>
      <c r="H3" s="965"/>
    </row>
    <row r="4" spans="2:12" x14ac:dyDescent="0.25">
      <c r="B4" s="1021" t="s">
        <v>234</v>
      </c>
      <c r="C4" s="1021"/>
      <c r="D4" s="1021"/>
      <c r="E4" s="1021"/>
      <c r="F4" s="1021"/>
      <c r="G4" s="1021"/>
      <c r="H4" s="1021"/>
    </row>
    <row r="5" spans="2:12" x14ac:dyDescent="0.25">
      <c r="B5" s="70"/>
      <c r="C5" s="73"/>
      <c r="D5" s="73"/>
      <c r="E5" s="73"/>
      <c r="F5" s="73"/>
      <c r="G5" s="73"/>
      <c r="H5" s="73"/>
    </row>
    <row r="6" spans="2:12" x14ac:dyDescent="0.25">
      <c r="B6" s="70"/>
      <c r="C6" s="73"/>
      <c r="D6" s="73"/>
      <c r="E6" s="73"/>
      <c r="H6" s="70" t="s">
        <v>73</v>
      </c>
      <c r="L6" s="158"/>
    </row>
    <row r="7" spans="2:12" s="403" customFormat="1" x14ac:dyDescent="0.25">
      <c r="B7" s="941" t="s">
        <v>1</v>
      </c>
      <c r="C7" s="941" t="s">
        <v>74</v>
      </c>
      <c r="D7" s="420" t="s">
        <v>75</v>
      </c>
      <c r="E7" s="298" t="s">
        <v>76</v>
      </c>
      <c r="F7" s="1022" t="s">
        <v>77</v>
      </c>
      <c r="G7" s="1019"/>
      <c r="H7" s="1019"/>
    </row>
    <row r="8" spans="2:12" s="403" customFormat="1" ht="27.6" x14ac:dyDescent="0.25">
      <c r="B8" s="941"/>
      <c r="C8" s="941"/>
      <c r="D8" s="74" t="s">
        <v>81</v>
      </c>
      <c r="E8" s="74" t="s">
        <v>81</v>
      </c>
      <c r="F8" s="74" t="s">
        <v>83</v>
      </c>
      <c r="G8" s="74" t="s">
        <v>84</v>
      </c>
      <c r="H8" s="74" t="s">
        <v>85</v>
      </c>
    </row>
    <row r="9" spans="2:12" s="403" customFormat="1" x14ac:dyDescent="0.25">
      <c r="B9" s="941"/>
      <c r="C9" s="941"/>
      <c r="D9" s="74" t="s">
        <v>92</v>
      </c>
      <c r="E9" s="74" t="s">
        <v>93</v>
      </c>
      <c r="F9" s="74" t="s">
        <v>191</v>
      </c>
      <c r="G9" s="74" t="s">
        <v>192</v>
      </c>
      <c r="H9" s="74" t="s">
        <v>193</v>
      </c>
    </row>
    <row r="10" spans="2:12" x14ac:dyDescent="0.25">
      <c r="B10" s="46">
        <v>1</v>
      </c>
      <c r="C10" s="98" t="s">
        <v>235</v>
      </c>
      <c r="D10" s="576">
        <v>0.15102590000000002</v>
      </c>
      <c r="E10" s="576">
        <v>1.635830000000002E-2</v>
      </c>
      <c r="F10" s="576">
        <v>8.17915000000001E-3</v>
      </c>
      <c r="G10" s="576">
        <v>8.17915000000001E-3</v>
      </c>
      <c r="H10" s="576">
        <f>+F10+G10</f>
        <v>1.635830000000002E-2</v>
      </c>
      <c r="I10" s="403"/>
      <c r="J10" s="403"/>
      <c r="K10" s="403"/>
      <c r="L10" s="403"/>
    </row>
    <row r="11" spans="2:12" x14ac:dyDescent="0.25">
      <c r="B11" s="46">
        <v>2</v>
      </c>
      <c r="C11" s="99" t="s">
        <v>236</v>
      </c>
      <c r="D11" s="576">
        <v>2.420668E-3</v>
      </c>
      <c r="E11" s="576">
        <v>2.83209E-2</v>
      </c>
      <c r="F11" s="576">
        <v>1.416045E-2</v>
      </c>
      <c r="G11" s="576">
        <v>1.416045E-2</v>
      </c>
      <c r="H11" s="576">
        <f t="shared" ref="H11:H37" si="0">+F11+G11</f>
        <v>2.83209E-2</v>
      </c>
      <c r="I11" s="403"/>
      <c r="J11" s="403"/>
      <c r="K11" s="403"/>
      <c r="L11" s="403"/>
    </row>
    <row r="12" spans="2:12" x14ac:dyDescent="0.25">
      <c r="B12" s="46">
        <v>3</v>
      </c>
      <c r="C12" s="99" t="s">
        <v>237</v>
      </c>
      <c r="D12" s="576">
        <v>1.08007E-2</v>
      </c>
      <c r="E12" s="576">
        <v>4.3274300000000002E-2</v>
      </c>
      <c r="F12" s="576">
        <v>2.1637150000000001E-2</v>
      </c>
      <c r="G12" s="576">
        <v>2.1637150000000001E-2</v>
      </c>
      <c r="H12" s="576">
        <f t="shared" si="0"/>
        <v>4.3274300000000002E-2</v>
      </c>
      <c r="I12" s="403"/>
      <c r="J12" s="403"/>
      <c r="K12" s="403"/>
      <c r="L12" s="403"/>
    </row>
    <row r="13" spans="2:12" x14ac:dyDescent="0.25">
      <c r="B13" s="46">
        <v>4</v>
      </c>
      <c r="C13" s="99" t="s">
        <v>238</v>
      </c>
      <c r="D13" s="576">
        <v>0.11141409999999999</v>
      </c>
      <c r="E13" s="576">
        <v>0.11479729999999999</v>
      </c>
      <c r="F13" s="576">
        <v>7.0898649999999994E-2</v>
      </c>
      <c r="G13" s="576">
        <v>7.0898649999999994E-2</v>
      </c>
      <c r="H13" s="576">
        <f t="shared" si="0"/>
        <v>0.14179729999999999</v>
      </c>
      <c r="I13" s="403"/>
      <c r="J13" s="403"/>
      <c r="K13" s="403"/>
      <c r="L13" s="403"/>
    </row>
    <row r="14" spans="2:12" x14ac:dyDescent="0.25">
      <c r="B14" s="46">
        <v>5</v>
      </c>
      <c r="C14" s="99" t="s">
        <v>239</v>
      </c>
      <c r="D14" s="576">
        <v>0.53599613600000007</v>
      </c>
      <c r="E14" s="576">
        <v>0.26681379999999999</v>
      </c>
      <c r="F14" s="576">
        <v>0.1199069</v>
      </c>
      <c r="G14" s="576">
        <v>0.26990690000000001</v>
      </c>
      <c r="H14" s="576">
        <f t="shared" si="0"/>
        <v>0.38981379999999999</v>
      </c>
      <c r="I14" s="403"/>
      <c r="J14" s="403"/>
      <c r="K14" s="403"/>
      <c r="L14" s="403"/>
    </row>
    <row r="15" spans="2:12" x14ac:dyDescent="0.25">
      <c r="B15" s="46">
        <v>6</v>
      </c>
      <c r="C15" s="99" t="s">
        <v>240</v>
      </c>
      <c r="D15" s="576">
        <v>9.1628000000000005E-3</v>
      </c>
      <c r="E15" s="576">
        <v>3.7923499999999999E-2</v>
      </c>
      <c r="F15" s="576">
        <v>1.0000000000000002E-2</v>
      </c>
      <c r="G15" s="576">
        <v>1.0000000000000002E-2</v>
      </c>
      <c r="H15" s="576">
        <f t="shared" si="0"/>
        <v>2.0000000000000004E-2</v>
      </c>
      <c r="I15" s="403"/>
      <c r="J15" s="403"/>
      <c r="K15" s="403"/>
      <c r="L15" s="403"/>
    </row>
    <row r="16" spans="2:12" x14ac:dyDescent="0.25">
      <c r="B16" s="46">
        <v>7</v>
      </c>
      <c r="C16" s="99" t="s">
        <v>241</v>
      </c>
      <c r="D16" s="576">
        <v>7.7223999999999999E-3</v>
      </c>
      <c r="E16" s="576">
        <v>1.6175200000000001E-2</v>
      </c>
      <c r="F16" s="576">
        <v>8.0876000000000003E-3</v>
      </c>
      <c r="G16" s="576">
        <v>8.0876000000000003E-3</v>
      </c>
      <c r="H16" s="576">
        <f t="shared" si="0"/>
        <v>1.6175200000000001E-2</v>
      </c>
      <c r="I16" s="403"/>
      <c r="J16" s="403"/>
      <c r="K16" s="403"/>
      <c r="L16" s="403"/>
    </row>
    <row r="17" spans="2:12" x14ac:dyDescent="0.25">
      <c r="B17" s="46">
        <v>8</v>
      </c>
      <c r="C17" s="99" t="s">
        <v>242</v>
      </c>
      <c r="D17" s="576">
        <v>0</v>
      </c>
      <c r="E17" s="576">
        <v>0</v>
      </c>
      <c r="F17" s="576">
        <v>0</v>
      </c>
      <c r="G17" s="576">
        <v>0</v>
      </c>
      <c r="H17" s="576">
        <f t="shared" si="0"/>
        <v>0</v>
      </c>
      <c r="I17" s="403"/>
      <c r="J17" s="403"/>
      <c r="K17" s="403"/>
      <c r="L17" s="403"/>
    </row>
    <row r="18" spans="2:12" x14ac:dyDescent="0.25">
      <c r="B18" s="46">
        <v>9</v>
      </c>
      <c r="C18" s="99" t="s">
        <v>243</v>
      </c>
      <c r="D18" s="576">
        <v>0.143164493</v>
      </c>
      <c r="E18" s="576">
        <v>0.1935045</v>
      </c>
      <c r="F18" s="576">
        <v>0.11</v>
      </c>
      <c r="G18" s="576">
        <v>0.11</v>
      </c>
      <c r="H18" s="576">
        <f t="shared" si="0"/>
        <v>0.22</v>
      </c>
      <c r="I18" s="403"/>
      <c r="J18" s="403"/>
      <c r="K18" s="403"/>
      <c r="L18" s="403"/>
    </row>
    <row r="19" spans="2:12" x14ac:dyDescent="0.25">
      <c r="B19" s="46">
        <v>10</v>
      </c>
      <c r="C19" s="99" t="s">
        <v>244</v>
      </c>
      <c r="D19" s="576">
        <v>0</v>
      </c>
      <c r="E19" s="576">
        <v>0</v>
      </c>
      <c r="F19" s="576">
        <v>0</v>
      </c>
      <c r="G19" s="576">
        <v>0</v>
      </c>
      <c r="H19" s="576">
        <f t="shared" si="0"/>
        <v>0</v>
      </c>
      <c r="I19" s="403"/>
      <c r="J19" s="403"/>
      <c r="K19" s="403"/>
      <c r="L19" s="403"/>
    </row>
    <row r="20" spans="2:12" x14ac:dyDescent="0.25">
      <c r="B20" s="46">
        <v>11</v>
      </c>
      <c r="C20" s="99" t="s">
        <v>245</v>
      </c>
      <c r="D20" s="576">
        <v>0</v>
      </c>
      <c r="E20" s="576">
        <v>2.9999999999999997E-4</v>
      </c>
      <c r="F20" s="576">
        <v>0</v>
      </c>
      <c r="G20" s="576">
        <v>0</v>
      </c>
      <c r="H20" s="576">
        <f t="shared" si="0"/>
        <v>0</v>
      </c>
      <c r="I20" s="403"/>
      <c r="J20" s="403"/>
      <c r="K20" s="403"/>
      <c r="L20" s="403"/>
    </row>
    <row r="21" spans="2:12" x14ac:dyDescent="0.25">
      <c r="B21" s="46">
        <v>12</v>
      </c>
      <c r="C21" s="99" t="s">
        <v>246</v>
      </c>
      <c r="D21" s="576">
        <v>0</v>
      </c>
      <c r="E21" s="576">
        <v>0</v>
      </c>
      <c r="F21" s="576">
        <v>0</v>
      </c>
      <c r="G21" s="576">
        <v>0</v>
      </c>
      <c r="H21" s="576">
        <f t="shared" si="0"/>
        <v>0</v>
      </c>
      <c r="I21" s="403"/>
      <c r="J21" s="403"/>
      <c r="K21" s="403"/>
      <c r="L21" s="403"/>
    </row>
    <row r="22" spans="2:12" x14ac:dyDescent="0.25">
      <c r="B22" s="46">
        <v>13</v>
      </c>
      <c r="C22" s="99" t="s">
        <v>247</v>
      </c>
      <c r="D22" s="576">
        <v>3.0964E-3</v>
      </c>
      <c r="E22" s="576">
        <v>1.6120800000000001E-2</v>
      </c>
      <c r="F22" s="576">
        <v>8.0604000000000006E-3</v>
      </c>
      <c r="G22" s="576">
        <v>8.0604000000000006E-3</v>
      </c>
      <c r="H22" s="576">
        <f t="shared" si="0"/>
        <v>1.6120800000000001E-2</v>
      </c>
      <c r="I22" s="403"/>
      <c r="J22" s="403"/>
      <c r="K22" s="403"/>
      <c r="L22" s="403"/>
    </row>
    <row r="23" spans="2:12" x14ac:dyDescent="0.25">
      <c r="B23" s="46">
        <v>14</v>
      </c>
      <c r="C23" s="99" t="s">
        <v>248</v>
      </c>
      <c r="D23" s="576">
        <v>0.1960015</v>
      </c>
      <c r="E23" s="576">
        <v>0</v>
      </c>
      <c r="F23" s="576">
        <v>0</v>
      </c>
      <c r="G23" s="576">
        <v>0.25</v>
      </c>
      <c r="H23" s="576">
        <f t="shared" si="0"/>
        <v>0.25</v>
      </c>
      <c r="I23" s="403"/>
      <c r="J23" s="403"/>
      <c r="K23" s="403"/>
      <c r="L23" s="403"/>
    </row>
    <row r="24" spans="2:12" x14ac:dyDescent="0.25">
      <c r="B24" s="46">
        <v>15</v>
      </c>
      <c r="C24" s="100" t="s">
        <v>249</v>
      </c>
      <c r="D24" s="576">
        <v>0</v>
      </c>
      <c r="E24" s="576">
        <v>0</v>
      </c>
      <c r="F24" s="576">
        <v>0</v>
      </c>
      <c r="G24" s="576">
        <v>0</v>
      </c>
      <c r="H24" s="576">
        <f t="shared" si="0"/>
        <v>0</v>
      </c>
      <c r="I24" s="403"/>
      <c r="J24" s="403"/>
      <c r="K24" s="403"/>
      <c r="L24" s="403"/>
    </row>
    <row r="25" spans="2:12" x14ac:dyDescent="0.25">
      <c r="B25" s="46">
        <v>16</v>
      </c>
      <c r="C25" s="98" t="s">
        <v>250</v>
      </c>
      <c r="D25" s="576">
        <v>0</v>
      </c>
      <c r="E25" s="576">
        <v>0</v>
      </c>
      <c r="F25" s="576">
        <v>0</v>
      </c>
      <c r="G25" s="576">
        <v>0</v>
      </c>
      <c r="H25" s="576">
        <f t="shared" si="0"/>
        <v>0</v>
      </c>
      <c r="I25" s="403"/>
      <c r="J25" s="403"/>
      <c r="K25" s="403"/>
      <c r="L25" s="403"/>
    </row>
    <row r="26" spans="2:12" x14ac:dyDescent="0.25">
      <c r="B26" s="46">
        <v>17</v>
      </c>
      <c r="C26" s="98" t="s">
        <v>251</v>
      </c>
      <c r="D26" s="576">
        <v>0.155096294</v>
      </c>
      <c r="E26" s="576">
        <v>0.15354309999999999</v>
      </c>
      <c r="F26" s="576">
        <v>5.7987400000000001E-2</v>
      </c>
      <c r="G26" s="576">
        <v>0.20798739999999999</v>
      </c>
      <c r="H26" s="576">
        <f t="shared" si="0"/>
        <v>0.26597480000000001</v>
      </c>
      <c r="I26" s="403"/>
      <c r="J26" s="403"/>
      <c r="K26" s="403"/>
      <c r="L26" s="403"/>
    </row>
    <row r="27" spans="2:12" x14ac:dyDescent="0.25">
      <c r="B27" s="46">
        <v>18</v>
      </c>
      <c r="C27" s="99" t="s">
        <v>252</v>
      </c>
      <c r="D27" s="576">
        <v>0</v>
      </c>
      <c r="E27" s="576">
        <v>0</v>
      </c>
      <c r="F27" s="576">
        <v>0</v>
      </c>
      <c r="G27" s="576">
        <v>0</v>
      </c>
      <c r="H27" s="576">
        <f t="shared" si="0"/>
        <v>0</v>
      </c>
      <c r="I27" s="403"/>
      <c r="J27" s="403"/>
      <c r="K27" s="403"/>
      <c r="L27" s="403"/>
    </row>
    <row r="28" spans="2:12" x14ac:dyDescent="0.25">
      <c r="B28" s="46">
        <v>19</v>
      </c>
      <c r="C28" s="99" t="s">
        <v>253</v>
      </c>
      <c r="D28" s="576">
        <v>9.3790490000000004E-2</v>
      </c>
      <c r="E28" s="576">
        <v>0.10629350000000001</v>
      </c>
      <c r="F28" s="576">
        <v>0.04</v>
      </c>
      <c r="G28" s="576">
        <v>0.04</v>
      </c>
      <c r="H28" s="576">
        <f t="shared" si="0"/>
        <v>0.08</v>
      </c>
      <c r="I28" s="403"/>
      <c r="J28" s="403"/>
      <c r="K28" s="403"/>
      <c r="L28" s="403"/>
    </row>
    <row r="29" spans="2:12" x14ac:dyDescent="0.25">
      <c r="B29" s="46">
        <v>20</v>
      </c>
      <c r="C29" s="99" t="s">
        <v>254</v>
      </c>
      <c r="D29" s="576">
        <v>6.7024899999999998E-2</v>
      </c>
      <c r="E29" s="576">
        <v>0.1060121</v>
      </c>
      <c r="F29" s="576">
        <v>0.08</v>
      </c>
      <c r="G29" s="576">
        <v>0.08</v>
      </c>
      <c r="H29" s="576">
        <f t="shared" si="0"/>
        <v>0.16</v>
      </c>
      <c r="I29" s="403"/>
      <c r="J29" s="403"/>
      <c r="K29" s="403"/>
      <c r="L29" s="403"/>
    </row>
    <row r="30" spans="2:12" x14ac:dyDescent="0.25">
      <c r="B30" s="46">
        <v>21</v>
      </c>
      <c r="C30" s="99" t="s">
        <v>255</v>
      </c>
      <c r="D30" s="576">
        <v>0</v>
      </c>
      <c r="E30" s="576">
        <v>0</v>
      </c>
      <c r="F30" s="576">
        <v>0</v>
      </c>
      <c r="G30" s="576">
        <v>0</v>
      </c>
      <c r="H30" s="576">
        <f t="shared" si="0"/>
        <v>0</v>
      </c>
      <c r="I30" s="403"/>
      <c r="J30" s="403"/>
      <c r="K30" s="403"/>
      <c r="L30" s="403"/>
    </row>
    <row r="31" spans="2:12" x14ac:dyDescent="0.25">
      <c r="B31" s="46">
        <v>22</v>
      </c>
      <c r="C31" s="99" t="s">
        <v>256</v>
      </c>
      <c r="D31" s="576">
        <v>0</v>
      </c>
      <c r="E31" s="576">
        <v>0</v>
      </c>
      <c r="F31" s="576">
        <v>0</v>
      </c>
      <c r="G31" s="576">
        <v>0</v>
      </c>
      <c r="H31" s="576">
        <f t="shared" si="0"/>
        <v>0</v>
      </c>
      <c r="I31" s="403"/>
      <c r="J31" s="403"/>
      <c r="K31" s="403"/>
      <c r="L31" s="403"/>
    </row>
    <row r="32" spans="2:12" x14ac:dyDescent="0.25">
      <c r="B32" s="46">
        <v>23</v>
      </c>
      <c r="C32" s="99" t="s">
        <v>257</v>
      </c>
      <c r="D32" s="576">
        <v>0</v>
      </c>
      <c r="E32" s="576">
        <v>0</v>
      </c>
      <c r="F32" s="576">
        <v>0</v>
      </c>
      <c r="G32" s="576">
        <v>0</v>
      </c>
      <c r="H32" s="576">
        <f t="shared" si="0"/>
        <v>0</v>
      </c>
      <c r="I32" s="403"/>
      <c r="J32" s="403"/>
      <c r="K32" s="403"/>
      <c r="L32" s="403"/>
    </row>
    <row r="33" spans="2:12" x14ac:dyDescent="0.25">
      <c r="B33" s="46">
        <v>24</v>
      </c>
      <c r="C33" s="99" t="s">
        <v>258</v>
      </c>
      <c r="D33" s="576">
        <v>9.0860000000000003E-3</v>
      </c>
      <c r="E33" s="576">
        <v>1.7495999999999998E-2</v>
      </c>
      <c r="F33" s="576">
        <v>0.01</v>
      </c>
      <c r="G33" s="576">
        <v>0.01</v>
      </c>
      <c r="H33" s="576">
        <f t="shared" si="0"/>
        <v>0.02</v>
      </c>
      <c r="I33" s="403"/>
      <c r="J33" s="403"/>
      <c r="K33" s="403"/>
      <c r="L33" s="403"/>
    </row>
    <row r="34" spans="2:12" x14ac:dyDescent="0.25">
      <c r="B34" s="46">
        <v>25</v>
      </c>
      <c r="C34" s="99" t="s">
        <v>259</v>
      </c>
      <c r="D34" s="576">
        <v>0</v>
      </c>
      <c r="E34" s="576">
        <v>0</v>
      </c>
      <c r="F34" s="576">
        <v>0</v>
      </c>
      <c r="G34" s="576">
        <v>0</v>
      </c>
      <c r="H34" s="576">
        <f t="shared" si="0"/>
        <v>0</v>
      </c>
      <c r="I34" s="403"/>
      <c r="J34" s="403"/>
      <c r="K34" s="403"/>
      <c r="L34" s="403"/>
    </row>
    <row r="35" spans="2:12" x14ac:dyDescent="0.25">
      <c r="B35" s="46">
        <v>26</v>
      </c>
      <c r="C35" s="99" t="s">
        <v>260</v>
      </c>
      <c r="D35" s="576">
        <v>9.6256936000000015E-2</v>
      </c>
      <c r="E35" s="576">
        <v>5.1290099999999991E-2</v>
      </c>
      <c r="F35" s="576">
        <v>2.5645049999999996E-2</v>
      </c>
      <c r="G35" s="576">
        <v>2.5645049999999996E-2</v>
      </c>
      <c r="H35" s="576">
        <f t="shared" si="0"/>
        <v>5.1290099999999991E-2</v>
      </c>
      <c r="I35" s="403"/>
      <c r="J35" s="403"/>
      <c r="K35" s="403"/>
      <c r="L35" s="403"/>
    </row>
    <row r="36" spans="2:12" x14ac:dyDescent="0.25">
      <c r="B36" s="46">
        <v>27</v>
      </c>
      <c r="C36" s="99" t="s">
        <v>261</v>
      </c>
      <c r="D36" s="853">
        <v>0</v>
      </c>
      <c r="E36" s="853">
        <v>0</v>
      </c>
      <c r="F36" s="576">
        <v>0</v>
      </c>
      <c r="G36" s="576">
        <v>0</v>
      </c>
      <c r="H36" s="576">
        <f t="shared" si="0"/>
        <v>0</v>
      </c>
      <c r="I36" s="403"/>
      <c r="J36" s="403"/>
      <c r="K36" s="403"/>
      <c r="L36" s="403"/>
    </row>
    <row r="37" spans="2:12" x14ac:dyDescent="0.25">
      <c r="B37" s="46">
        <v>28</v>
      </c>
      <c r="C37" s="99" t="s">
        <v>881</v>
      </c>
      <c r="D37" s="853">
        <v>5.8401000000000004E-4</v>
      </c>
      <c r="E37" s="853">
        <v>5.0543000000000003E-3</v>
      </c>
      <c r="F37" s="576">
        <v>0</v>
      </c>
      <c r="G37" s="576">
        <v>0</v>
      </c>
      <c r="H37" s="576">
        <f t="shared" si="0"/>
        <v>0</v>
      </c>
      <c r="I37" s="403"/>
      <c r="J37" s="403"/>
      <c r="K37" s="403"/>
      <c r="L37" s="403"/>
    </row>
    <row r="38" spans="2:12" x14ac:dyDescent="0.25">
      <c r="B38" s="46">
        <v>29</v>
      </c>
      <c r="C38" s="101" t="s">
        <v>262</v>
      </c>
      <c r="D38" s="854">
        <f>SUM(D10:D37)</f>
        <v>1.5926437270000002</v>
      </c>
      <c r="E38" s="854">
        <f>SUM(E10:E37)</f>
        <v>1.1732776999999999</v>
      </c>
      <c r="F38" s="541">
        <f t="shared" ref="F38:H38" si="1">SUM(F10:F37)</f>
        <v>0.58456274999999991</v>
      </c>
      <c r="G38" s="541">
        <f t="shared" si="1"/>
        <v>1.1345627500000002</v>
      </c>
      <c r="H38" s="541">
        <f t="shared" si="1"/>
        <v>1.7191255000000001</v>
      </c>
      <c r="I38" s="582"/>
      <c r="J38" s="403"/>
      <c r="K38" s="403"/>
      <c r="L38" s="403"/>
    </row>
    <row r="39" spans="2:12" x14ac:dyDescent="0.25">
      <c r="B39" s="46">
        <v>30</v>
      </c>
      <c r="C39" s="11" t="s">
        <v>218</v>
      </c>
      <c r="D39" s="855"/>
      <c r="E39" s="856"/>
      <c r="F39" s="537"/>
      <c r="G39" s="537"/>
      <c r="H39" s="537"/>
      <c r="I39" s="583"/>
      <c r="J39" s="583"/>
      <c r="K39" s="403"/>
      <c r="L39" s="403"/>
    </row>
    <row r="40" spans="2:12" x14ac:dyDescent="0.25">
      <c r="B40" s="46">
        <v>31</v>
      </c>
      <c r="C40" s="30" t="s">
        <v>263</v>
      </c>
      <c r="D40" s="542">
        <f>+D38-D39</f>
        <v>1.5926437270000002</v>
      </c>
      <c r="E40" s="542">
        <f t="shared" ref="E40:H40" si="2">+E38-E39</f>
        <v>1.1732776999999999</v>
      </c>
      <c r="F40" s="542">
        <f t="shared" si="2"/>
        <v>0.58456274999999991</v>
      </c>
      <c r="G40" s="542">
        <f t="shared" si="2"/>
        <v>1.1345627500000002</v>
      </c>
      <c r="H40" s="542">
        <f t="shared" si="2"/>
        <v>1.7191255000000001</v>
      </c>
      <c r="I40" s="403"/>
      <c r="J40" s="403"/>
      <c r="K40" s="403"/>
      <c r="L40" s="403"/>
    </row>
  </sheetData>
  <mergeCells count="6">
    <mergeCell ref="B7:B9"/>
    <mergeCell ref="C7:C9"/>
    <mergeCell ref="F7:H7"/>
    <mergeCell ref="B2:H2"/>
    <mergeCell ref="B3:H3"/>
    <mergeCell ref="B4:H4"/>
  </mergeCells>
  <printOptions horizontalCentered="1" verticalCentered="1"/>
  <pageMargins left="0.35433070866141736" right="0.23622047244094491" top="0.41" bottom="0.98425196850393704" header="0.23622047244094491" footer="0.23622047244094491"/>
  <pageSetup paperSize="9" scale="93"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2:L34"/>
  <sheetViews>
    <sheetView showGridLines="0" view="pageBreakPreview" zoomScale="60" zoomScaleNormal="80" workbookViewId="0">
      <selection activeCell="I35" sqref="I35"/>
    </sheetView>
  </sheetViews>
  <sheetFormatPr defaultColWidth="9.33203125" defaultRowHeight="13.8" x14ac:dyDescent="0.25"/>
  <cols>
    <col min="1" max="1" width="9.33203125" style="1"/>
    <col min="2" max="2" width="5.6640625" style="73" customWidth="1"/>
    <col min="3" max="3" width="39.33203125" style="1" bestFit="1" customWidth="1"/>
    <col min="4" max="4" width="14.44140625" style="1" customWidth="1"/>
    <col min="5" max="5" width="17.33203125" style="1" customWidth="1"/>
    <col min="6" max="6" width="14.33203125" style="1" bestFit="1" customWidth="1"/>
    <col min="7" max="7" width="14.33203125" style="1" customWidth="1"/>
    <col min="8" max="8" width="18.33203125" style="1" customWidth="1"/>
    <col min="9" max="9" width="10.6640625" style="1" customWidth="1"/>
    <col min="10" max="10" width="12.33203125" style="1" customWidth="1"/>
    <col min="11" max="11" width="12.6640625" style="1" customWidth="1"/>
    <col min="12" max="12" width="14.44140625" style="1" customWidth="1"/>
    <col min="13" max="16384" width="9.33203125" style="1"/>
  </cols>
  <sheetData>
    <row r="2" spans="2:12" x14ac:dyDescent="0.25">
      <c r="B2" s="1020" t="str">
        <f>Index!$B$2</f>
        <v>JAIGAD POWER TRANSCO LIMITED (JPTL)</v>
      </c>
      <c r="C2" s="1020"/>
      <c r="D2" s="1020"/>
      <c r="E2" s="1020"/>
      <c r="F2" s="1020"/>
      <c r="G2" s="1020"/>
      <c r="H2" s="1020"/>
    </row>
    <row r="3" spans="2:12" x14ac:dyDescent="0.25">
      <c r="B3" s="965" t="s">
        <v>0</v>
      </c>
      <c r="C3" s="965"/>
      <c r="D3" s="965"/>
      <c r="E3" s="965"/>
      <c r="F3" s="965"/>
      <c r="G3" s="965"/>
      <c r="H3" s="965"/>
    </row>
    <row r="4" spans="2:12" x14ac:dyDescent="0.25">
      <c r="B4" s="1021" t="s">
        <v>264</v>
      </c>
      <c r="C4" s="1021"/>
      <c r="D4" s="1021"/>
      <c r="E4" s="1021"/>
      <c r="F4" s="1021"/>
      <c r="G4" s="1021"/>
      <c r="H4" s="1021"/>
    </row>
    <row r="5" spans="2:12" x14ac:dyDescent="0.25">
      <c r="B5" s="70"/>
      <c r="C5" s="73"/>
      <c r="D5" s="73"/>
      <c r="E5" s="73"/>
      <c r="F5" s="73"/>
      <c r="G5" s="73"/>
      <c r="H5" s="73"/>
    </row>
    <row r="6" spans="2:12" x14ac:dyDescent="0.25">
      <c r="B6" s="70"/>
      <c r="C6" s="73"/>
      <c r="D6" s="73"/>
      <c r="E6" s="73"/>
      <c r="H6" s="70" t="s">
        <v>73</v>
      </c>
    </row>
    <row r="7" spans="2:12" x14ac:dyDescent="0.25">
      <c r="B7" s="938" t="s">
        <v>1</v>
      </c>
      <c r="C7" s="943" t="s">
        <v>74</v>
      </c>
      <c r="D7" s="420" t="s">
        <v>75</v>
      </c>
      <c r="E7" s="298" t="s">
        <v>76</v>
      </c>
      <c r="F7" s="1022" t="s">
        <v>77</v>
      </c>
      <c r="G7" s="1019"/>
      <c r="H7" s="1019"/>
    </row>
    <row r="8" spans="2:12" ht="43.5" customHeight="1" x14ac:dyDescent="0.25">
      <c r="B8" s="1023"/>
      <c r="C8" s="1025"/>
      <c r="D8" s="74" t="s">
        <v>81</v>
      </c>
      <c r="E8" s="74" t="s">
        <v>81</v>
      </c>
      <c r="F8" s="74" t="s">
        <v>83</v>
      </c>
      <c r="G8" s="74" t="s">
        <v>84</v>
      </c>
      <c r="H8" s="74" t="s">
        <v>85</v>
      </c>
    </row>
    <row r="9" spans="2:12" x14ac:dyDescent="0.25">
      <c r="B9" s="1024"/>
      <c r="C9" s="1025"/>
      <c r="D9" s="74" t="s">
        <v>92</v>
      </c>
      <c r="E9" s="74" t="s">
        <v>93</v>
      </c>
      <c r="F9" s="74" t="s">
        <v>191</v>
      </c>
      <c r="G9" s="74" t="s">
        <v>192</v>
      </c>
      <c r="H9" s="74" t="s">
        <v>193</v>
      </c>
    </row>
    <row r="10" spans="2:12" x14ac:dyDescent="0.25">
      <c r="B10" s="46">
        <v>1</v>
      </c>
      <c r="C10" s="99" t="s">
        <v>265</v>
      </c>
      <c r="D10" s="591">
        <v>2.7252892660000003</v>
      </c>
      <c r="E10" s="591">
        <v>2.5364432510000001</v>
      </c>
      <c r="F10" s="591">
        <v>1.0693039660000001</v>
      </c>
      <c r="G10" s="591">
        <v>1.410802498</v>
      </c>
      <c r="H10" s="591">
        <f>+F10+G10</f>
        <v>2.4801064640000003</v>
      </c>
    </row>
    <row r="11" spans="2:12" x14ac:dyDescent="0.25">
      <c r="B11" s="46">
        <f>B10+1</f>
        <v>2</v>
      </c>
      <c r="C11" s="99" t="s">
        <v>266</v>
      </c>
      <c r="D11" s="591">
        <v>5.1255377999999997E-2</v>
      </c>
      <c r="E11" s="591">
        <v>5.4509379999999996E-2</v>
      </c>
      <c r="F11" s="591">
        <v>3.0696034000000004E-2</v>
      </c>
      <c r="G11" s="591">
        <v>6.9000499999999996E-3</v>
      </c>
      <c r="H11" s="591">
        <f t="shared" ref="H11:H18" si="0">+F11+G11</f>
        <v>3.7596084000000002E-2</v>
      </c>
      <c r="I11" s="557"/>
      <c r="J11" s="557"/>
      <c r="K11" s="557"/>
      <c r="L11" s="557"/>
    </row>
    <row r="12" spans="2:12" x14ac:dyDescent="0.25">
      <c r="B12" s="46">
        <f t="shared" ref="B12:B23" si="1">B11+1</f>
        <v>3</v>
      </c>
      <c r="C12" s="99" t="s">
        <v>267</v>
      </c>
      <c r="D12" s="591">
        <v>9.0025397999999993E-2</v>
      </c>
      <c r="E12" s="591">
        <v>0.17318096899999996</v>
      </c>
      <c r="F12" s="591">
        <v>0</v>
      </c>
      <c r="G12" s="591">
        <v>0</v>
      </c>
      <c r="H12" s="591">
        <f t="shared" si="0"/>
        <v>0</v>
      </c>
      <c r="I12" s="557"/>
      <c r="J12" s="557"/>
      <c r="K12" s="557"/>
      <c r="L12" s="557"/>
    </row>
    <row r="13" spans="2:12" x14ac:dyDescent="0.25">
      <c r="B13" s="46">
        <f t="shared" si="1"/>
        <v>4</v>
      </c>
      <c r="C13" s="99" t="s">
        <v>268</v>
      </c>
      <c r="D13" s="591">
        <v>0</v>
      </c>
      <c r="E13" s="591">
        <v>0</v>
      </c>
      <c r="F13" s="591">
        <v>0</v>
      </c>
      <c r="G13" s="591"/>
      <c r="H13" s="591"/>
      <c r="I13" s="557"/>
      <c r="J13" s="557"/>
      <c r="K13" s="557"/>
      <c r="L13" s="557"/>
    </row>
    <row r="14" spans="2:12" x14ac:dyDescent="0.25">
      <c r="B14" s="46">
        <f t="shared" si="1"/>
        <v>5</v>
      </c>
      <c r="C14" s="99" t="s">
        <v>269</v>
      </c>
      <c r="D14" s="591">
        <v>0</v>
      </c>
      <c r="E14" s="591">
        <v>0</v>
      </c>
      <c r="F14" s="591">
        <v>0</v>
      </c>
      <c r="G14" s="591">
        <v>0</v>
      </c>
      <c r="H14" s="591">
        <f t="shared" si="0"/>
        <v>0</v>
      </c>
      <c r="I14" s="557"/>
      <c r="J14" s="557"/>
      <c r="K14" s="557"/>
      <c r="L14" s="557"/>
    </row>
    <row r="15" spans="2:12" x14ac:dyDescent="0.25">
      <c r="B15" s="46">
        <f t="shared" si="1"/>
        <v>6</v>
      </c>
      <c r="C15" s="99" t="s">
        <v>270</v>
      </c>
      <c r="D15" s="591">
        <v>0</v>
      </c>
      <c r="E15" s="591">
        <v>0</v>
      </c>
      <c r="F15" s="591">
        <v>0</v>
      </c>
      <c r="G15" s="591">
        <v>0</v>
      </c>
      <c r="H15" s="591">
        <f t="shared" si="0"/>
        <v>0</v>
      </c>
      <c r="I15" s="557"/>
      <c r="J15" s="557"/>
      <c r="K15" s="557"/>
      <c r="L15" s="557"/>
    </row>
    <row r="16" spans="2:12" x14ac:dyDescent="0.25">
      <c r="B16" s="46">
        <f t="shared" si="1"/>
        <v>7</v>
      </c>
      <c r="C16" s="99" t="s">
        <v>271</v>
      </c>
      <c r="D16" s="591">
        <v>0</v>
      </c>
      <c r="E16" s="591">
        <v>0</v>
      </c>
      <c r="F16" s="591">
        <v>0</v>
      </c>
      <c r="G16" s="591">
        <v>0</v>
      </c>
      <c r="H16" s="591">
        <f t="shared" si="0"/>
        <v>0</v>
      </c>
    </row>
    <row r="17" spans="2:8" x14ac:dyDescent="0.25">
      <c r="B17" s="46">
        <f t="shared" si="1"/>
        <v>8</v>
      </c>
      <c r="C17" s="99" t="s">
        <v>272</v>
      </c>
      <c r="D17" s="591">
        <v>0</v>
      </c>
      <c r="E17" s="591">
        <v>0</v>
      </c>
      <c r="F17" s="591">
        <v>0</v>
      </c>
      <c r="G17" s="591">
        <v>0</v>
      </c>
      <c r="H17" s="591">
        <f t="shared" si="0"/>
        <v>0</v>
      </c>
    </row>
    <row r="18" spans="2:8" x14ac:dyDescent="0.25">
      <c r="B18" s="46">
        <f t="shared" si="1"/>
        <v>9</v>
      </c>
      <c r="C18" s="99" t="s">
        <v>808</v>
      </c>
      <c r="D18" s="591">
        <v>0</v>
      </c>
      <c r="E18" s="591">
        <v>0</v>
      </c>
      <c r="F18" s="591">
        <v>0</v>
      </c>
      <c r="G18" s="591">
        <v>0</v>
      </c>
      <c r="H18" s="591">
        <f t="shared" si="0"/>
        <v>0</v>
      </c>
    </row>
    <row r="19" spans="2:8" x14ac:dyDescent="0.25">
      <c r="B19" s="97">
        <f t="shared" si="1"/>
        <v>10</v>
      </c>
      <c r="C19" s="101" t="s">
        <v>273</v>
      </c>
      <c r="D19" s="541">
        <f t="shared" ref="D19:H19" si="2">SUM(D10:D18)</f>
        <v>2.8665700420000002</v>
      </c>
      <c r="E19" s="541">
        <f t="shared" si="2"/>
        <v>2.7641336000000001</v>
      </c>
      <c r="F19" s="541">
        <f t="shared" si="2"/>
        <v>1.1000000000000001</v>
      </c>
      <c r="G19" s="541">
        <f t="shared" si="2"/>
        <v>1.4177025480000001</v>
      </c>
      <c r="H19" s="541">
        <f t="shared" si="2"/>
        <v>2.5177025480000004</v>
      </c>
    </row>
    <row r="20" spans="2:8" x14ac:dyDescent="0.25">
      <c r="B20" s="46">
        <f t="shared" si="1"/>
        <v>11</v>
      </c>
      <c r="C20" s="11" t="s">
        <v>218</v>
      </c>
      <c r="D20" s="11"/>
      <c r="E20" s="26"/>
      <c r="F20" s="26"/>
      <c r="G20" s="26"/>
      <c r="H20" s="26"/>
    </row>
    <row r="21" spans="2:8" ht="27.6" x14ac:dyDescent="0.25">
      <c r="B21" s="46">
        <f t="shared" si="1"/>
        <v>12</v>
      </c>
      <c r="C21" s="845" t="s">
        <v>1039</v>
      </c>
      <c r="D21" s="11"/>
      <c r="E21" s="26"/>
      <c r="F21" s="537"/>
      <c r="G21" s="537">
        <f>2135682/10^7</f>
        <v>0.21356820000000001</v>
      </c>
      <c r="H21" s="591">
        <f t="shared" ref="H21" si="3">+F21+G21</f>
        <v>0.21356820000000001</v>
      </c>
    </row>
    <row r="22" spans="2:8" x14ac:dyDescent="0.25">
      <c r="B22" s="46">
        <f t="shared" si="1"/>
        <v>13</v>
      </c>
      <c r="C22" s="11" t="s">
        <v>1038</v>
      </c>
      <c r="D22" s="580">
        <v>0.55070986999999993</v>
      </c>
      <c r="E22" s="580">
        <v>0.15251500000000001</v>
      </c>
      <c r="F22" s="537">
        <v>0.110319</v>
      </c>
      <c r="G22" s="537">
        <v>0.2522974</v>
      </c>
      <c r="H22" s="591">
        <f t="shared" ref="H22" si="4">+F22+G22</f>
        <v>0.36261640000000001</v>
      </c>
    </row>
    <row r="23" spans="2:8" x14ac:dyDescent="0.25">
      <c r="B23" s="46">
        <f t="shared" si="1"/>
        <v>14</v>
      </c>
      <c r="C23" s="30" t="s">
        <v>274</v>
      </c>
      <c r="D23" s="575">
        <f t="shared" ref="D23:G23" si="5">+D19-D20-D22-D21</f>
        <v>2.3158601720000003</v>
      </c>
      <c r="E23" s="575">
        <f t="shared" si="5"/>
        <v>2.6116185999999999</v>
      </c>
      <c r="F23" s="575">
        <f t="shared" si="5"/>
        <v>0.98968100000000003</v>
      </c>
      <c r="G23" s="575">
        <f t="shared" si="5"/>
        <v>0.95183694800000007</v>
      </c>
      <c r="H23" s="575">
        <f>+H19-H20-H22-H21</f>
        <v>1.9415179480000004</v>
      </c>
    </row>
    <row r="24" spans="2:8" x14ac:dyDescent="0.25">
      <c r="C24" s="8"/>
    </row>
    <row r="26" spans="2:8" x14ac:dyDescent="0.25">
      <c r="C26" s="593"/>
      <c r="D26" s="718" t="s">
        <v>889</v>
      </c>
      <c r="E26" s="718" t="s">
        <v>776</v>
      </c>
      <c r="F26" s="718" t="s">
        <v>75</v>
      </c>
      <c r="G26" s="723"/>
      <c r="H26" s="723"/>
    </row>
    <row r="27" spans="2:8" x14ac:dyDescent="0.25">
      <c r="C27" s="125" t="s">
        <v>977</v>
      </c>
      <c r="D27" s="560">
        <v>0</v>
      </c>
      <c r="E27" s="560">
        <f>+D31</f>
        <v>0.18298541200000001</v>
      </c>
      <c r="F27" s="560">
        <f>+E31</f>
        <v>0.207889512</v>
      </c>
    </row>
    <row r="28" spans="2:8" x14ac:dyDescent="0.25">
      <c r="C28" s="11" t="s">
        <v>978</v>
      </c>
      <c r="D28" s="527">
        <v>0.18298541200000001</v>
      </c>
      <c r="E28" s="527">
        <v>0.2</v>
      </c>
      <c r="F28" s="527">
        <f>+F30-F29</f>
        <v>0.67978066099999979</v>
      </c>
    </row>
    <row r="29" spans="2:8" x14ac:dyDescent="0.25">
      <c r="C29" s="11" t="s">
        <v>979</v>
      </c>
      <c r="D29" s="527"/>
      <c r="E29" s="527">
        <f>+E28-E30</f>
        <v>0.17509590000000003</v>
      </c>
      <c r="F29" s="527">
        <f>-Overhauling!I27/10^7</f>
        <v>-0.12907079099999988</v>
      </c>
    </row>
    <row r="30" spans="2:8" x14ac:dyDescent="0.25">
      <c r="C30" s="11" t="s">
        <v>980</v>
      </c>
      <c r="D30" s="527">
        <f>+D28-D29</f>
        <v>0.18298541200000001</v>
      </c>
      <c r="E30" s="527">
        <v>2.4904099999999998E-2</v>
      </c>
      <c r="F30" s="527">
        <f>+F31-F27</f>
        <v>0.55070986999999993</v>
      </c>
    </row>
    <row r="31" spans="2:8" x14ac:dyDescent="0.25">
      <c r="C31" s="125" t="s">
        <v>981</v>
      </c>
      <c r="D31" s="560">
        <f>+D27+D30</f>
        <v>0.18298541200000001</v>
      </c>
      <c r="E31" s="560">
        <f t="shared" ref="E31" si="6">+E27+E30</f>
        <v>0.207889512</v>
      </c>
      <c r="F31" s="560">
        <f>+Overhauling!I30/10^7</f>
        <v>0.75859938199999999</v>
      </c>
    </row>
    <row r="34" spans="5:5" x14ac:dyDescent="0.25">
      <c r="E34" s="581"/>
    </row>
  </sheetData>
  <mergeCells count="6">
    <mergeCell ref="B7:B9"/>
    <mergeCell ref="C7:C9"/>
    <mergeCell ref="F7:H7"/>
    <mergeCell ref="B2:H2"/>
    <mergeCell ref="B3:H3"/>
    <mergeCell ref="B4:H4"/>
  </mergeCells>
  <pageMargins left="0.38" right="0.23622047244094491" top="0.49" bottom="0.98425196850393704" header="0.23622047244094491" footer="0.23622047244094491"/>
  <pageSetup paperSize="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47821-84C3-4D1D-8FCF-14BC743FCDE2}">
  <dimension ref="A1:L36"/>
  <sheetViews>
    <sheetView showGridLines="0" topLeftCell="C24" workbookViewId="0">
      <selection activeCell="J25" sqref="J25"/>
    </sheetView>
  </sheetViews>
  <sheetFormatPr defaultColWidth="8.6640625" defaultRowHeight="13.8" x14ac:dyDescent="0.25"/>
  <cols>
    <col min="1" max="1" width="6.33203125" style="723" bestFit="1" customWidth="1"/>
    <col min="2" max="2" width="11.6640625" style="723" customWidth="1"/>
    <col min="3" max="3" width="19.6640625" style="723" bestFit="1" customWidth="1"/>
    <col min="4" max="4" width="12.5546875" style="723" bestFit="1" customWidth="1"/>
    <col min="5" max="5" width="30" style="723" bestFit="1" customWidth="1"/>
    <col min="6" max="6" width="30.33203125" style="723" bestFit="1" customWidth="1"/>
    <col min="7" max="7" width="12.109375" style="723" bestFit="1" customWidth="1"/>
    <col min="8" max="8" width="14.6640625" style="723" bestFit="1" customWidth="1"/>
    <col min="9" max="9" width="12.109375" style="723" customWidth="1"/>
    <col min="10" max="10" width="34.33203125" style="723" bestFit="1" customWidth="1"/>
    <col min="11" max="11" width="46" style="719" customWidth="1"/>
    <col min="12" max="16384" width="8.6640625" style="719"/>
  </cols>
  <sheetData>
    <row r="1" spans="1:11" x14ac:dyDescent="0.25">
      <c r="A1" s="1027" t="s">
        <v>905</v>
      </c>
      <c r="B1" s="1027"/>
      <c r="C1" s="1027"/>
      <c r="D1" s="1027"/>
      <c r="E1" s="1027"/>
      <c r="F1" s="1027"/>
      <c r="G1" s="1027"/>
      <c r="H1" s="1027"/>
      <c r="I1" s="1027"/>
      <c r="J1" s="1027"/>
    </row>
    <row r="3" spans="1:11" s="723" customFormat="1" ht="55.2" x14ac:dyDescent="0.25">
      <c r="A3" s="720" t="s">
        <v>906</v>
      </c>
      <c r="B3" s="720" t="s">
        <v>907</v>
      </c>
      <c r="C3" s="720" t="s">
        <v>908</v>
      </c>
      <c r="D3" s="720" t="s">
        <v>909</v>
      </c>
      <c r="E3" s="720" t="s">
        <v>910</v>
      </c>
      <c r="F3" s="720" t="s">
        <v>911</v>
      </c>
      <c r="G3" s="720" t="s">
        <v>912</v>
      </c>
      <c r="H3" s="721" t="s">
        <v>913</v>
      </c>
      <c r="I3" s="721" t="s">
        <v>914</v>
      </c>
      <c r="J3" s="722" t="s">
        <v>79</v>
      </c>
      <c r="K3" s="721" t="s">
        <v>915</v>
      </c>
    </row>
    <row r="4" spans="1:11" x14ac:dyDescent="0.25">
      <c r="A4" s="724">
        <v>1</v>
      </c>
      <c r="B4" s="724">
        <v>1830000093</v>
      </c>
      <c r="C4" s="724" t="s">
        <v>916</v>
      </c>
      <c r="D4" s="724">
        <v>10032412</v>
      </c>
      <c r="E4" s="724" t="s">
        <v>917</v>
      </c>
      <c r="F4" s="724" t="s">
        <v>918</v>
      </c>
      <c r="G4" s="724">
        <v>5009582380</v>
      </c>
      <c r="H4" s="725">
        <v>1367648.12</v>
      </c>
      <c r="I4" s="725">
        <v>1367648.12</v>
      </c>
      <c r="J4" s="726" t="s">
        <v>974</v>
      </c>
      <c r="K4" s="727"/>
    </row>
    <row r="5" spans="1:11" x14ac:dyDescent="0.25">
      <c r="A5" s="724">
        <v>2</v>
      </c>
      <c r="B5" s="724">
        <v>1830000094</v>
      </c>
      <c r="C5" s="724" t="s">
        <v>919</v>
      </c>
      <c r="D5" s="724">
        <v>10035849</v>
      </c>
      <c r="E5" s="724" t="s">
        <v>920</v>
      </c>
      <c r="F5" s="724" t="s">
        <v>921</v>
      </c>
      <c r="G5" s="724">
        <v>5009921785</v>
      </c>
      <c r="H5" s="725">
        <v>61006</v>
      </c>
      <c r="I5" s="725">
        <v>61006</v>
      </c>
      <c r="J5" s="726" t="s">
        <v>974</v>
      </c>
      <c r="K5" s="727"/>
    </row>
    <row r="6" spans="1:11" ht="43.5" customHeight="1" x14ac:dyDescent="0.25">
      <c r="A6" s="724">
        <v>3</v>
      </c>
      <c r="B6" s="724">
        <v>1850000194</v>
      </c>
      <c r="C6" s="724" t="s">
        <v>922</v>
      </c>
      <c r="D6" s="724">
        <v>10032412</v>
      </c>
      <c r="E6" s="724" t="s">
        <v>917</v>
      </c>
      <c r="F6" s="720" t="s">
        <v>923</v>
      </c>
      <c r="G6" s="724">
        <v>1004759269</v>
      </c>
      <c r="H6" s="725">
        <v>160480</v>
      </c>
      <c r="I6" s="725">
        <v>160480</v>
      </c>
      <c r="J6" s="726" t="s">
        <v>974</v>
      </c>
      <c r="K6" s="1028" t="s">
        <v>1008</v>
      </c>
    </row>
    <row r="7" spans="1:11" ht="43.5" customHeight="1" x14ac:dyDescent="0.25">
      <c r="A7" s="724">
        <v>4</v>
      </c>
      <c r="B7" s="724">
        <v>1850000194</v>
      </c>
      <c r="C7" s="724" t="s">
        <v>924</v>
      </c>
      <c r="D7" s="724">
        <v>10032412</v>
      </c>
      <c r="E7" s="724" t="s">
        <v>917</v>
      </c>
      <c r="F7" s="720" t="s">
        <v>923</v>
      </c>
      <c r="G7" s="724">
        <v>1005629088</v>
      </c>
      <c r="H7" s="725">
        <v>113280</v>
      </c>
      <c r="I7" s="725">
        <v>113280</v>
      </c>
      <c r="J7" s="726" t="s">
        <v>975</v>
      </c>
      <c r="K7" s="1028"/>
    </row>
    <row r="8" spans="1:11" ht="41.4" x14ac:dyDescent="0.25">
      <c r="A8" s="724">
        <v>5</v>
      </c>
      <c r="B8" s="724">
        <v>1850000197</v>
      </c>
      <c r="C8" s="724" t="s">
        <v>925</v>
      </c>
      <c r="D8" s="724">
        <v>10035849</v>
      </c>
      <c r="E8" s="724" t="s">
        <v>920</v>
      </c>
      <c r="F8" s="720" t="s">
        <v>926</v>
      </c>
      <c r="G8" s="724">
        <v>1004703172</v>
      </c>
      <c r="H8" s="725">
        <v>158120</v>
      </c>
      <c r="I8" s="725">
        <v>158120</v>
      </c>
      <c r="J8" s="726" t="s">
        <v>974</v>
      </c>
      <c r="K8" s="728" t="s">
        <v>927</v>
      </c>
    </row>
    <row r="9" spans="1:11" x14ac:dyDescent="0.25">
      <c r="A9" s="724">
        <v>6</v>
      </c>
      <c r="B9" s="724">
        <v>1850000225</v>
      </c>
      <c r="C9" s="724" t="s">
        <v>928</v>
      </c>
      <c r="D9" s="724">
        <v>20021962</v>
      </c>
      <c r="E9" s="724" t="s">
        <v>929</v>
      </c>
      <c r="F9" s="724" t="s">
        <v>930</v>
      </c>
      <c r="G9" s="724">
        <v>1004703120</v>
      </c>
      <c r="H9" s="725">
        <v>82600</v>
      </c>
      <c r="I9" s="725">
        <v>82600</v>
      </c>
      <c r="J9" s="726" t="s">
        <v>974</v>
      </c>
      <c r="K9" s="727"/>
    </row>
    <row r="10" spans="1:11" x14ac:dyDescent="0.25">
      <c r="A10" s="724">
        <v>7</v>
      </c>
      <c r="B10" s="724">
        <v>1830000127</v>
      </c>
      <c r="C10" s="724" t="s">
        <v>931</v>
      </c>
      <c r="D10" s="724">
        <v>10035849</v>
      </c>
      <c r="E10" s="724" t="s">
        <v>920</v>
      </c>
      <c r="F10" s="724" t="s">
        <v>932</v>
      </c>
      <c r="G10" s="724">
        <v>5012512058</v>
      </c>
      <c r="H10" s="725">
        <v>135761</v>
      </c>
      <c r="I10" s="725">
        <v>135761</v>
      </c>
      <c r="J10" s="726" t="s">
        <v>975</v>
      </c>
      <c r="K10" s="727"/>
    </row>
    <row r="11" spans="1:11" x14ac:dyDescent="0.25">
      <c r="A11" s="724">
        <v>8</v>
      </c>
      <c r="B11" s="724">
        <v>1830000139</v>
      </c>
      <c r="C11" s="724" t="s">
        <v>933</v>
      </c>
      <c r="D11" s="724">
        <v>10032412</v>
      </c>
      <c r="E11" s="724" t="s">
        <v>917</v>
      </c>
      <c r="F11" s="724" t="s">
        <v>918</v>
      </c>
      <c r="G11" s="724">
        <v>5012820900</v>
      </c>
      <c r="H11" s="725">
        <v>3011166.8</v>
      </c>
      <c r="I11" s="725">
        <v>3011166.8</v>
      </c>
      <c r="J11" s="729" t="s">
        <v>934</v>
      </c>
      <c r="K11" s="727"/>
    </row>
    <row r="12" spans="1:11" ht="165.6" x14ac:dyDescent="0.25">
      <c r="A12" s="724">
        <v>9</v>
      </c>
      <c r="B12" s="724">
        <v>1850000268</v>
      </c>
      <c r="C12" s="724" t="s">
        <v>935</v>
      </c>
      <c r="D12" s="724">
        <v>10035849</v>
      </c>
      <c r="E12" s="724" t="s">
        <v>920</v>
      </c>
      <c r="F12" s="720" t="s">
        <v>926</v>
      </c>
      <c r="G12" s="724">
        <v>1006336960</v>
      </c>
      <c r="H12" s="725">
        <v>385671</v>
      </c>
      <c r="I12" s="725">
        <v>385671</v>
      </c>
      <c r="J12" s="730" t="s">
        <v>976</v>
      </c>
      <c r="K12" s="728" t="s">
        <v>936</v>
      </c>
    </row>
    <row r="13" spans="1:11" ht="124.2" x14ac:dyDescent="0.25">
      <c r="A13" s="724">
        <v>10</v>
      </c>
      <c r="B13" s="724">
        <v>1850000269</v>
      </c>
      <c r="C13" s="724" t="s">
        <v>937</v>
      </c>
      <c r="D13" s="724">
        <v>10032412</v>
      </c>
      <c r="E13" s="724" t="s">
        <v>917</v>
      </c>
      <c r="F13" s="720" t="s">
        <v>923</v>
      </c>
      <c r="G13" s="724">
        <v>1006359236</v>
      </c>
      <c r="H13" s="725">
        <v>546340</v>
      </c>
      <c r="I13" s="725">
        <v>546340</v>
      </c>
      <c r="J13" s="730" t="s">
        <v>976</v>
      </c>
      <c r="K13" s="728" t="s">
        <v>1009</v>
      </c>
    </row>
    <row r="14" spans="1:11" x14ac:dyDescent="0.25">
      <c r="A14" s="724">
        <v>11</v>
      </c>
      <c r="B14" s="724">
        <v>1850000272</v>
      </c>
      <c r="C14" s="724" t="s">
        <v>938</v>
      </c>
      <c r="D14" s="724">
        <v>20024253</v>
      </c>
      <c r="E14" s="724" t="s">
        <v>939</v>
      </c>
      <c r="F14" s="724" t="s">
        <v>930</v>
      </c>
      <c r="G14" s="724">
        <v>1006316819</v>
      </c>
      <c r="H14" s="725">
        <v>107380</v>
      </c>
      <c r="I14" s="725">
        <v>107380</v>
      </c>
      <c r="J14" s="730" t="s">
        <v>976</v>
      </c>
      <c r="K14" s="727"/>
    </row>
    <row r="15" spans="1:11" ht="14.7" customHeight="1" x14ac:dyDescent="0.25">
      <c r="A15" s="724">
        <v>12</v>
      </c>
      <c r="B15" s="731">
        <v>1830000150</v>
      </c>
      <c r="C15" s="732" t="s">
        <v>940</v>
      </c>
      <c r="D15" s="733">
        <v>20039730</v>
      </c>
      <c r="E15" s="733" t="s">
        <v>941</v>
      </c>
      <c r="F15" s="733" t="s">
        <v>932</v>
      </c>
      <c r="G15" s="734">
        <v>5013932908</v>
      </c>
      <c r="H15" s="725">
        <v>106200</v>
      </c>
      <c r="I15" s="735">
        <v>106200</v>
      </c>
      <c r="J15" s="736" t="s">
        <v>942</v>
      </c>
      <c r="K15" s="727"/>
    </row>
    <row r="16" spans="1:11" ht="96.6" x14ac:dyDescent="0.25">
      <c r="A16" s="724">
        <v>13</v>
      </c>
      <c r="B16" s="731">
        <v>1850000303</v>
      </c>
      <c r="C16" s="732" t="s">
        <v>943</v>
      </c>
      <c r="D16" s="733">
        <v>10035849</v>
      </c>
      <c r="E16" s="733" t="s">
        <v>920</v>
      </c>
      <c r="F16" s="732" t="s">
        <v>926</v>
      </c>
      <c r="G16" s="734">
        <v>1007349699</v>
      </c>
      <c r="H16" s="725">
        <v>405920</v>
      </c>
      <c r="I16" s="735">
        <v>220660</v>
      </c>
      <c r="J16" s="736" t="s">
        <v>942</v>
      </c>
      <c r="K16" s="728" t="s">
        <v>1010</v>
      </c>
    </row>
    <row r="17" spans="1:12" ht="27.6" x14ac:dyDescent="0.25">
      <c r="A17" s="724">
        <v>14</v>
      </c>
      <c r="B17" s="737">
        <v>1830000152</v>
      </c>
      <c r="C17" s="738" t="s">
        <v>944</v>
      </c>
      <c r="D17" s="739">
        <v>10000491</v>
      </c>
      <c r="E17" s="739" t="s">
        <v>945</v>
      </c>
      <c r="F17" s="739" t="s">
        <v>946</v>
      </c>
      <c r="G17" s="734">
        <v>5015179122</v>
      </c>
      <c r="H17" s="725">
        <v>71070</v>
      </c>
      <c r="I17" s="740">
        <v>72570</v>
      </c>
      <c r="J17" s="736" t="s">
        <v>942</v>
      </c>
      <c r="K17" s="727"/>
    </row>
    <row r="18" spans="1:12" x14ac:dyDescent="0.25">
      <c r="A18" s="724">
        <v>15</v>
      </c>
      <c r="B18" s="737">
        <v>1850000298</v>
      </c>
      <c r="C18" s="732" t="s">
        <v>947</v>
      </c>
      <c r="D18" s="739">
        <v>20021564</v>
      </c>
      <c r="E18" s="739" t="s">
        <v>948</v>
      </c>
      <c r="F18" s="739" t="s">
        <v>930</v>
      </c>
      <c r="G18" s="734">
        <v>1007349629</v>
      </c>
      <c r="H18" s="725">
        <v>88500</v>
      </c>
      <c r="I18" s="741">
        <v>44250</v>
      </c>
      <c r="J18" s="736" t="s">
        <v>942</v>
      </c>
      <c r="K18" s="727"/>
    </row>
    <row r="19" spans="1:12" x14ac:dyDescent="0.25">
      <c r="A19" s="724">
        <v>16</v>
      </c>
      <c r="B19" s="724">
        <v>1830000151</v>
      </c>
      <c r="C19" s="724" t="s">
        <v>949</v>
      </c>
      <c r="D19" s="724">
        <v>10005718</v>
      </c>
      <c r="E19" s="724" t="s">
        <v>950</v>
      </c>
      <c r="F19" s="724" t="s">
        <v>951</v>
      </c>
      <c r="G19" s="724">
        <v>5013868499</v>
      </c>
      <c r="H19" s="725">
        <v>249198</v>
      </c>
      <c r="I19" s="725">
        <v>249198</v>
      </c>
      <c r="J19" s="730" t="s">
        <v>976</v>
      </c>
      <c r="K19" s="727"/>
    </row>
    <row r="20" spans="1:12" x14ac:dyDescent="0.25">
      <c r="A20" s="724">
        <v>17</v>
      </c>
      <c r="B20" s="724">
        <v>1850000193</v>
      </c>
      <c r="C20" s="724" t="s">
        <v>952</v>
      </c>
      <c r="D20" s="724">
        <v>20033833</v>
      </c>
      <c r="E20" s="724" t="s">
        <v>953</v>
      </c>
      <c r="F20" s="724" t="s">
        <v>954</v>
      </c>
      <c r="G20" s="724">
        <v>1003989289</v>
      </c>
      <c r="H20" s="725">
        <v>119180</v>
      </c>
      <c r="I20" s="725">
        <v>119180</v>
      </c>
      <c r="J20" s="730" t="s">
        <v>974</v>
      </c>
      <c r="K20" s="727"/>
    </row>
    <row r="21" spans="1:12" ht="14.7" customHeight="1" x14ac:dyDescent="0.25">
      <c r="A21" s="724">
        <v>18</v>
      </c>
      <c r="B21" s="737">
        <v>1850000232</v>
      </c>
      <c r="C21" s="742" t="s">
        <v>955</v>
      </c>
      <c r="D21" s="733">
        <v>10028602</v>
      </c>
      <c r="E21" s="733" t="s">
        <v>956</v>
      </c>
      <c r="F21" s="733" t="s">
        <v>954</v>
      </c>
      <c r="G21" s="733">
        <v>1007264167</v>
      </c>
      <c r="H21" s="725">
        <v>116820</v>
      </c>
      <c r="I21" s="743">
        <v>116820</v>
      </c>
      <c r="J21" s="736" t="s">
        <v>942</v>
      </c>
      <c r="K21" s="727"/>
    </row>
    <row r="22" spans="1:12" ht="27.6" x14ac:dyDescent="0.25">
      <c r="A22" s="724">
        <v>19</v>
      </c>
      <c r="B22" s="744"/>
      <c r="C22" s="724"/>
      <c r="D22" s="745"/>
      <c r="E22" s="1029" t="s">
        <v>957</v>
      </c>
      <c r="F22" s="1030"/>
      <c r="G22" s="746" t="s">
        <v>958</v>
      </c>
      <c r="H22" s="725"/>
      <c r="I22" s="725">
        <v>197662.9</v>
      </c>
      <c r="J22" s="747" t="s">
        <v>959</v>
      </c>
      <c r="K22" s="727"/>
    </row>
    <row r="23" spans="1:12" ht="55.2" x14ac:dyDescent="0.25">
      <c r="A23" s="724">
        <v>20</v>
      </c>
      <c r="B23" s="724">
        <v>1850000311</v>
      </c>
      <c r="C23" s="724"/>
      <c r="D23" s="724">
        <v>10000491</v>
      </c>
      <c r="E23" s="724" t="s">
        <v>945</v>
      </c>
      <c r="F23" s="720" t="s">
        <v>923</v>
      </c>
      <c r="G23" s="724"/>
      <c r="H23" s="725">
        <v>359900</v>
      </c>
      <c r="I23" s="748">
        <v>0</v>
      </c>
      <c r="J23" s="840" t="s">
        <v>960</v>
      </c>
      <c r="K23" s="839" t="s">
        <v>961</v>
      </c>
    </row>
    <row r="24" spans="1:12" ht="118.8" x14ac:dyDescent="0.25">
      <c r="A24" s="724">
        <v>21</v>
      </c>
      <c r="B24" s="744">
        <v>1850000330</v>
      </c>
      <c r="C24" s="720" t="s">
        <v>962</v>
      </c>
      <c r="D24" s="724">
        <v>10032412</v>
      </c>
      <c r="E24" s="724" t="s">
        <v>963</v>
      </c>
      <c r="F24" s="720" t="s">
        <v>923</v>
      </c>
      <c r="G24" s="724">
        <v>1007575336</v>
      </c>
      <c r="H24" s="725"/>
      <c r="I24" s="749">
        <v>330000</v>
      </c>
      <c r="J24" s="746" t="s">
        <v>942</v>
      </c>
      <c r="K24" s="839" t="s">
        <v>964</v>
      </c>
    </row>
    <row r="25" spans="1:12" ht="27.6" x14ac:dyDescent="0.25">
      <c r="A25" s="724">
        <v>22</v>
      </c>
      <c r="B25" s="737">
        <v>1830000153</v>
      </c>
      <c r="C25" s="738" t="s">
        <v>965</v>
      </c>
      <c r="D25" s="739">
        <v>10000491</v>
      </c>
      <c r="E25" s="739" t="s">
        <v>945</v>
      </c>
      <c r="F25" s="739" t="s">
        <v>918</v>
      </c>
      <c r="G25" s="733">
        <v>5015179577</v>
      </c>
      <c r="H25" s="725">
        <v>1069878.8799999999</v>
      </c>
      <c r="I25" s="725"/>
      <c r="J25" s="746"/>
      <c r="K25" s="727"/>
    </row>
    <row r="26" spans="1:12" ht="27.6" x14ac:dyDescent="0.25">
      <c r="A26" s="724">
        <v>23</v>
      </c>
      <c r="B26" s="744">
        <v>1830000154</v>
      </c>
      <c r="C26" s="721" t="s">
        <v>966</v>
      </c>
      <c r="D26" s="724">
        <v>10000491</v>
      </c>
      <c r="E26" s="724" t="s">
        <v>945</v>
      </c>
      <c r="F26" s="724" t="s">
        <v>967</v>
      </c>
      <c r="G26" s="724">
        <v>5014525526</v>
      </c>
      <c r="H26" s="725">
        <v>238193.14</v>
      </c>
      <c r="I26" s="725"/>
      <c r="J26" s="746"/>
      <c r="K26" s="727"/>
    </row>
    <row r="27" spans="1:12" ht="27.45" customHeight="1" x14ac:dyDescent="0.25">
      <c r="A27" s="724">
        <v>24</v>
      </c>
      <c r="B27" s="1028" t="s">
        <v>968</v>
      </c>
      <c r="C27" s="1028"/>
      <c r="D27" s="1028"/>
      <c r="E27" s="1028"/>
      <c r="F27" s="724" t="s">
        <v>969</v>
      </c>
      <c r="G27" s="750"/>
      <c r="H27" s="725"/>
      <c r="I27" s="751">
        <v>1290707.9099999988</v>
      </c>
      <c r="J27" s="752" t="s">
        <v>942</v>
      </c>
      <c r="K27" s="727"/>
    </row>
    <row r="28" spans="1:12" x14ac:dyDescent="0.25">
      <c r="A28" s="727"/>
      <c r="B28" s="724"/>
      <c r="C28" s="724"/>
      <c r="D28" s="1031"/>
      <c r="E28" s="1032"/>
      <c r="F28" s="1032"/>
      <c r="G28" s="1033"/>
      <c r="H28" s="753">
        <f>SUM(H4:H27)</f>
        <v>8954312.9400000013</v>
      </c>
      <c r="I28" s="753">
        <f>SUM(I4:I26)</f>
        <v>7585993.8200000003</v>
      </c>
      <c r="J28" s="730"/>
      <c r="K28" s="727"/>
    </row>
    <row r="29" spans="1:12" ht="27.6" x14ac:dyDescent="0.25">
      <c r="A29" s="727"/>
      <c r="B29" s="724"/>
      <c r="C29" s="724"/>
      <c r="D29" s="724"/>
      <c r="E29" s="724"/>
      <c r="F29" s="724"/>
      <c r="G29" s="724" t="s">
        <v>970</v>
      </c>
      <c r="H29" s="720">
        <v>1256204.2126666668</v>
      </c>
      <c r="I29" s="720">
        <v>0</v>
      </c>
      <c r="J29" s="754" t="s">
        <v>971</v>
      </c>
      <c r="K29" s="727"/>
    </row>
    <row r="30" spans="1:12" x14ac:dyDescent="0.25">
      <c r="A30" s="727"/>
      <c r="B30" s="724"/>
      <c r="C30" s="724"/>
      <c r="D30" s="724"/>
      <c r="E30" s="1026" t="s">
        <v>972</v>
      </c>
      <c r="F30" s="1026"/>
      <c r="G30" s="1026"/>
      <c r="H30" s="753">
        <f>H28-H29</f>
        <v>7698108.7273333343</v>
      </c>
      <c r="I30" s="753">
        <f>I28-I29</f>
        <v>7585993.8200000003</v>
      </c>
      <c r="J30" s="730" t="s">
        <v>973</v>
      </c>
      <c r="K30" s="755"/>
    </row>
    <row r="31" spans="1:12" x14ac:dyDescent="0.25">
      <c r="A31" s="719"/>
    </row>
    <row r="32" spans="1:12" s="723" customFormat="1" x14ac:dyDescent="0.25">
      <c r="A32" s="719"/>
      <c r="K32" s="719"/>
      <c r="L32" s="719"/>
    </row>
    <row r="35" spans="5:5" x14ac:dyDescent="0.25">
      <c r="E35" s="756"/>
    </row>
    <row r="36" spans="5:5" x14ac:dyDescent="0.25">
      <c r="E36" s="756"/>
    </row>
  </sheetData>
  <mergeCells count="6">
    <mergeCell ref="E30:G30"/>
    <mergeCell ref="A1:J1"/>
    <mergeCell ref="K6:K7"/>
    <mergeCell ref="E22:F22"/>
    <mergeCell ref="B27:E27"/>
    <mergeCell ref="D28:G28"/>
  </mergeCells>
  <pageMargins left="0.7" right="0.7" top="0.75" bottom="0.75" header="0.3" footer="0.3"/>
  <pageSetup paperSize="9" orientation="portrait" horizontalDpi="4294967293"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T19"/>
  <sheetViews>
    <sheetView showGridLines="0" view="pageBreakPreview" topLeftCell="F5" zoomScale="115" zoomScaleNormal="85" zoomScaleSheetLayoutView="115" workbookViewId="0">
      <selection activeCell="L16" sqref="L16"/>
    </sheetView>
  </sheetViews>
  <sheetFormatPr defaultColWidth="9.33203125" defaultRowHeight="13.8" x14ac:dyDescent="0.25"/>
  <cols>
    <col min="1" max="1" width="4.33203125" style="231" customWidth="1"/>
    <col min="2" max="2" width="6.33203125" style="231" customWidth="1"/>
    <col min="3" max="3" width="19.6640625" style="231" customWidth="1"/>
    <col min="4" max="4" width="9.5546875" style="231" customWidth="1"/>
    <col min="5" max="5" width="11.6640625" style="231" bestFit="1" customWidth="1"/>
    <col min="6" max="6" width="12.44140625" style="231" customWidth="1"/>
    <col min="7" max="7" width="7.109375" style="231" bestFit="1" customWidth="1"/>
    <col min="8" max="8" width="11.6640625" style="231" bestFit="1" customWidth="1"/>
    <col min="9" max="9" width="12.6640625" style="231" customWidth="1"/>
    <col min="10" max="10" width="9" style="231" customWidth="1"/>
    <col min="11" max="11" width="9.5546875" style="231" customWidth="1"/>
    <col min="12" max="12" width="11.109375" style="231" customWidth="1"/>
    <col min="13" max="13" width="11.44140625" style="231" customWidth="1"/>
    <col min="14" max="14" width="11.33203125" style="231" customWidth="1"/>
    <col min="15" max="19" width="10.6640625" style="231" bestFit="1" customWidth="1"/>
    <col min="20" max="20" width="13.5546875" style="231" customWidth="1"/>
    <col min="21" max="16384" width="9.33203125" style="231"/>
  </cols>
  <sheetData>
    <row r="1" spans="2:20" x14ac:dyDescent="0.25">
      <c r="B1" s="282"/>
    </row>
    <row r="2" spans="2:20" x14ac:dyDescent="0.25">
      <c r="C2" s="287"/>
      <c r="D2" s="287"/>
      <c r="E2" s="287"/>
      <c r="F2" s="287"/>
      <c r="G2" s="287"/>
      <c r="H2" s="287"/>
      <c r="I2" s="287"/>
      <c r="J2" s="141" t="str">
        <f>Index!B2</f>
        <v>JAIGAD POWER TRANSCO LIMITED (JPTL)</v>
      </c>
      <c r="K2" s="287"/>
      <c r="L2" s="287"/>
      <c r="M2" s="287"/>
      <c r="N2" s="287"/>
      <c r="O2" s="287"/>
    </row>
    <row r="3" spans="2:20" x14ac:dyDescent="0.25">
      <c r="C3" s="287"/>
      <c r="D3" s="287"/>
      <c r="E3" s="287"/>
      <c r="F3" s="287"/>
      <c r="G3" s="287"/>
      <c r="H3" s="287"/>
      <c r="I3" s="287"/>
      <c r="J3" s="300" t="s">
        <v>0</v>
      </c>
      <c r="K3" s="287"/>
      <c r="L3" s="287"/>
      <c r="M3" s="287"/>
      <c r="N3" s="287"/>
      <c r="O3" s="283"/>
    </row>
    <row r="4" spans="2:20" x14ac:dyDescent="0.25">
      <c r="C4" s="287"/>
      <c r="D4" s="287"/>
      <c r="E4" s="287"/>
      <c r="F4" s="287"/>
      <c r="G4" s="287"/>
      <c r="H4" s="287"/>
      <c r="I4" s="287"/>
      <c r="J4" s="233" t="s">
        <v>275</v>
      </c>
      <c r="K4" s="287"/>
      <c r="L4" s="287"/>
      <c r="M4" s="287"/>
      <c r="N4" s="287"/>
      <c r="O4" s="287"/>
    </row>
    <row r="5" spans="2:20" x14ac:dyDescent="0.25">
      <c r="B5" s="233"/>
      <c r="C5" s="289"/>
      <c r="D5" s="289"/>
      <c r="E5" s="289"/>
      <c r="F5" s="289"/>
      <c r="G5" s="289"/>
      <c r="H5" s="289"/>
      <c r="I5" s="289"/>
      <c r="J5" s="289"/>
      <c r="K5" s="289"/>
      <c r="L5" s="289"/>
      <c r="M5" s="289"/>
      <c r="N5" s="289"/>
      <c r="O5" s="289"/>
    </row>
    <row r="6" spans="2:20" x14ac:dyDescent="0.25">
      <c r="B6" s="233"/>
      <c r="C6" s="289"/>
      <c r="D6" s="289"/>
      <c r="E6" s="289"/>
      <c r="F6" s="289"/>
      <c r="G6" s="289"/>
      <c r="H6" s="289"/>
      <c r="I6" s="289"/>
      <c r="J6" s="289"/>
      <c r="K6" s="289"/>
      <c r="L6" s="289"/>
      <c r="M6" s="289"/>
      <c r="N6" s="289"/>
      <c r="O6" s="289"/>
    </row>
    <row r="7" spans="2:20" x14ac:dyDescent="0.25">
      <c r="B7" s="208"/>
      <c r="C7" s="234"/>
      <c r="D7" s="234"/>
      <c r="E7" s="234"/>
      <c r="F7" s="234"/>
      <c r="G7" s="234"/>
      <c r="H7" s="234"/>
      <c r="I7" s="234"/>
      <c r="J7" s="234"/>
      <c r="K7" s="234"/>
      <c r="L7" s="234"/>
      <c r="M7" s="234"/>
    </row>
    <row r="8" spans="2:20" x14ac:dyDescent="0.25">
      <c r="S8" s="284" t="s">
        <v>73</v>
      </c>
    </row>
    <row r="9" spans="2:20" s="279" customFormat="1" x14ac:dyDescent="0.25">
      <c r="B9" s="1034" t="s">
        <v>1</v>
      </c>
      <c r="C9" s="1037" t="s">
        <v>74</v>
      </c>
      <c r="D9" s="945" t="s">
        <v>75</v>
      </c>
      <c r="E9" s="946"/>
      <c r="F9" s="947"/>
      <c r="G9" s="945" t="s">
        <v>76</v>
      </c>
      <c r="H9" s="946"/>
      <c r="I9" s="947"/>
      <c r="J9" s="945" t="s">
        <v>77</v>
      </c>
      <c r="K9" s="946"/>
      <c r="L9" s="946"/>
      <c r="M9" s="946"/>
      <c r="N9" s="947"/>
      <c r="O9" s="936" t="s">
        <v>78</v>
      </c>
      <c r="P9" s="936"/>
      <c r="Q9" s="936"/>
      <c r="R9" s="936"/>
      <c r="S9" s="936"/>
      <c r="T9" s="936" t="s">
        <v>79</v>
      </c>
    </row>
    <row r="10" spans="2:20" s="279" customFormat="1" ht="55.2" x14ac:dyDescent="0.25">
      <c r="B10" s="1035"/>
      <c r="C10" s="1037"/>
      <c r="D10" s="418" t="s">
        <v>80</v>
      </c>
      <c r="E10" s="418" t="s">
        <v>81</v>
      </c>
      <c r="F10" s="418" t="s">
        <v>82</v>
      </c>
      <c r="G10" s="418" t="s">
        <v>80</v>
      </c>
      <c r="H10" s="418" t="s">
        <v>81</v>
      </c>
      <c r="I10" s="418" t="s">
        <v>82</v>
      </c>
      <c r="J10" s="418" t="s">
        <v>80</v>
      </c>
      <c r="K10" s="418" t="s">
        <v>83</v>
      </c>
      <c r="L10" s="418" t="s">
        <v>84</v>
      </c>
      <c r="M10" s="418" t="s">
        <v>85</v>
      </c>
      <c r="N10" s="418" t="s">
        <v>86</v>
      </c>
      <c r="O10" s="418" t="s">
        <v>87</v>
      </c>
      <c r="P10" s="418" t="s">
        <v>88</v>
      </c>
      <c r="Q10" s="418" t="s">
        <v>89</v>
      </c>
      <c r="R10" s="418" t="s">
        <v>90</v>
      </c>
      <c r="S10" s="418" t="s">
        <v>91</v>
      </c>
      <c r="T10" s="936"/>
    </row>
    <row r="11" spans="2:20" s="279" customFormat="1" ht="27.6" x14ac:dyDescent="0.25">
      <c r="B11" s="1036"/>
      <c r="C11" s="1038"/>
      <c r="D11" s="554" t="s">
        <v>92</v>
      </c>
      <c r="E11" s="554" t="s">
        <v>93</v>
      </c>
      <c r="F11" s="554" t="s">
        <v>94</v>
      </c>
      <c r="G11" s="554" t="s">
        <v>95</v>
      </c>
      <c r="H11" s="554" t="s">
        <v>96</v>
      </c>
      <c r="I11" s="554" t="s">
        <v>97</v>
      </c>
      <c r="J11" s="554" t="s">
        <v>98</v>
      </c>
      <c r="K11" s="554" t="s">
        <v>99</v>
      </c>
      <c r="L11" s="554" t="s">
        <v>100</v>
      </c>
      <c r="M11" s="418" t="s">
        <v>101</v>
      </c>
      <c r="N11" s="418" t="s">
        <v>102</v>
      </c>
      <c r="O11" s="418" t="s">
        <v>103</v>
      </c>
      <c r="P11" s="418" t="s">
        <v>103</v>
      </c>
      <c r="Q11" s="418" t="s">
        <v>103</v>
      </c>
      <c r="R11" s="418" t="s">
        <v>103</v>
      </c>
      <c r="S11" s="418" t="s">
        <v>103</v>
      </c>
      <c r="T11" s="937"/>
    </row>
    <row r="12" spans="2:20" s="287" customFormat="1" x14ac:dyDescent="0.25">
      <c r="B12" s="285">
        <v>1</v>
      </c>
      <c r="C12" s="286" t="s">
        <v>276</v>
      </c>
      <c r="D12" s="537"/>
      <c r="E12" s="537">
        <f>19833722/10^7</f>
        <v>1.9833722</v>
      </c>
      <c r="F12" s="537"/>
      <c r="G12" s="513"/>
      <c r="H12" s="537">
        <f>+H14</f>
        <v>0.45666426200000004</v>
      </c>
      <c r="I12" s="537"/>
      <c r="J12" s="537"/>
      <c r="K12" s="587"/>
      <c r="L12" s="587"/>
      <c r="M12" s="818">
        <f>+M14</f>
        <v>0.6</v>
      </c>
      <c r="N12" s="603"/>
      <c r="O12" s="818">
        <f>+O14</f>
        <v>10.1875</v>
      </c>
      <c r="P12" s="818">
        <f t="shared" ref="P12:S12" si="0">+P14</f>
        <v>0.4</v>
      </c>
      <c r="Q12" s="818">
        <f t="shared" si="0"/>
        <v>3.18</v>
      </c>
      <c r="R12" s="818">
        <f t="shared" si="0"/>
        <v>1.1337600000000001</v>
      </c>
      <c r="S12" s="818">
        <f t="shared" si="0"/>
        <v>0</v>
      </c>
      <c r="T12" s="286"/>
    </row>
    <row r="13" spans="2:20" s="287" customFormat="1" x14ac:dyDescent="0.25">
      <c r="B13" s="285"/>
      <c r="C13" s="286"/>
      <c r="D13" s="537"/>
      <c r="E13" s="537"/>
      <c r="F13" s="537"/>
      <c r="G13" s="513"/>
      <c r="H13" s="537"/>
      <c r="I13" s="537"/>
      <c r="J13" s="537"/>
      <c r="K13" s="587"/>
      <c r="L13" s="587"/>
      <c r="M13" s="603"/>
      <c r="N13" s="603"/>
      <c r="O13" s="603"/>
      <c r="P13" s="603"/>
      <c r="Q13" s="603"/>
      <c r="R13" s="603"/>
      <c r="S13" s="603"/>
      <c r="T13" s="286"/>
    </row>
    <row r="14" spans="2:20" s="287" customFormat="1" x14ac:dyDescent="0.25">
      <c r="B14" s="285">
        <f>B12+1</f>
        <v>2</v>
      </c>
      <c r="C14" s="288" t="s">
        <v>277</v>
      </c>
      <c r="D14" s="561">
        <v>3.01</v>
      </c>
      <c r="E14" s="561">
        <f>+'F4 '!E23</f>
        <v>4.9741044030000001</v>
      </c>
      <c r="F14" s="561"/>
      <c r="G14" s="537">
        <v>0.6</v>
      </c>
      <c r="H14" s="561">
        <f>+'F4 '!I23</f>
        <v>0.45666426200000004</v>
      </c>
      <c r="I14" s="537"/>
      <c r="J14" s="598">
        <v>3.54</v>
      </c>
      <c r="K14" s="561"/>
      <c r="L14" s="561"/>
      <c r="M14" s="598">
        <f>+'F4.1 (E) Exisiting'!O23</f>
        <v>0.6</v>
      </c>
      <c r="N14" s="432"/>
      <c r="O14" s="598">
        <f>+'F4 '!Q23</f>
        <v>10.1875</v>
      </c>
      <c r="P14" s="598">
        <f>+'F4 '!E39</f>
        <v>0.4</v>
      </c>
      <c r="Q14" s="598">
        <f>+'F4 '!I39</f>
        <v>3.18</v>
      </c>
      <c r="R14" s="598">
        <f>+'F4 '!M39</f>
        <v>1.1337600000000001</v>
      </c>
      <c r="S14" s="598">
        <f>+'F4 '!Q39</f>
        <v>0</v>
      </c>
      <c r="T14" s="286"/>
    </row>
    <row r="15" spans="2:20" s="287" customFormat="1" x14ac:dyDescent="0.25">
      <c r="B15" s="285">
        <f t="shared" ref="B15:B16" si="1">B14+1</f>
        <v>3</v>
      </c>
      <c r="C15" s="288" t="s">
        <v>278</v>
      </c>
      <c r="D15" s="561"/>
      <c r="E15" s="561"/>
      <c r="F15" s="561"/>
      <c r="G15" s="537"/>
      <c r="H15" s="561"/>
      <c r="I15" s="537"/>
      <c r="J15" s="537"/>
      <c r="K15" s="561"/>
      <c r="L15" s="561"/>
      <c r="M15" s="288"/>
      <c r="N15" s="432"/>
      <c r="O15" s="288"/>
      <c r="P15" s="288"/>
      <c r="Q15" s="288"/>
      <c r="R15" s="288"/>
      <c r="S15" s="288"/>
      <c r="T15" s="286"/>
    </row>
    <row r="16" spans="2:20" s="283" customFormat="1" x14ac:dyDescent="0.25">
      <c r="B16" s="599">
        <f t="shared" si="1"/>
        <v>4</v>
      </c>
      <c r="C16" s="600" t="s">
        <v>279</v>
      </c>
      <c r="D16" s="601">
        <f>+D14+D15</f>
        <v>3.01</v>
      </c>
      <c r="E16" s="601">
        <f t="shared" ref="E16:S16" si="2">+E14+E15</f>
        <v>4.9741044030000001</v>
      </c>
      <c r="F16" s="601">
        <f t="shared" si="2"/>
        <v>0</v>
      </c>
      <c r="G16" s="601">
        <f t="shared" si="2"/>
        <v>0.6</v>
      </c>
      <c r="H16" s="601">
        <f t="shared" si="2"/>
        <v>0.45666426200000004</v>
      </c>
      <c r="I16" s="601">
        <f t="shared" si="2"/>
        <v>0</v>
      </c>
      <c r="J16" s="601">
        <f t="shared" si="2"/>
        <v>3.54</v>
      </c>
      <c r="K16" s="601">
        <f t="shared" si="2"/>
        <v>0</v>
      </c>
      <c r="L16" s="601">
        <f t="shared" si="2"/>
        <v>0</v>
      </c>
      <c r="M16" s="601">
        <f t="shared" si="2"/>
        <v>0.6</v>
      </c>
      <c r="N16" s="601">
        <f t="shared" si="2"/>
        <v>0</v>
      </c>
      <c r="O16" s="601">
        <f t="shared" si="2"/>
        <v>10.1875</v>
      </c>
      <c r="P16" s="601">
        <f t="shared" si="2"/>
        <v>0.4</v>
      </c>
      <c r="Q16" s="601">
        <f t="shared" si="2"/>
        <v>3.18</v>
      </c>
      <c r="R16" s="601">
        <f t="shared" si="2"/>
        <v>1.1337600000000001</v>
      </c>
      <c r="S16" s="601">
        <f t="shared" si="2"/>
        <v>0</v>
      </c>
      <c r="T16" s="602"/>
    </row>
    <row r="17" spans="2:15" s="283" customFormat="1" x14ac:dyDescent="0.25">
      <c r="B17" s="289"/>
      <c r="C17" s="290"/>
      <c r="D17" s="290"/>
      <c r="E17" s="290"/>
      <c r="F17" s="290"/>
      <c r="G17" s="291"/>
      <c r="H17" s="292"/>
      <c r="I17" s="292"/>
      <c r="J17" s="292"/>
      <c r="K17" s="292"/>
      <c r="L17" s="292"/>
      <c r="M17" s="292"/>
      <c r="N17" s="292"/>
      <c r="O17" s="292"/>
    </row>
    <row r="18" spans="2:15" x14ac:dyDescent="0.25">
      <c r="B18" s="279" t="s">
        <v>124</v>
      </c>
    </row>
    <row r="19" spans="2:15" x14ac:dyDescent="0.25">
      <c r="B19" s="279"/>
      <c r="C19" s="231" t="s">
        <v>280</v>
      </c>
    </row>
  </sheetData>
  <mergeCells count="7">
    <mergeCell ref="T9:T11"/>
    <mergeCell ref="B9:B11"/>
    <mergeCell ref="C9:C11"/>
    <mergeCell ref="G9:I9"/>
    <mergeCell ref="J9:N9"/>
    <mergeCell ref="D9:F9"/>
    <mergeCell ref="O9:S9"/>
  </mergeCells>
  <pageMargins left="0.21" right="0.23622047244094491" top="0.69" bottom="0.98425196850393704" header="0.23622047244094491" footer="0.23622047244094491"/>
  <pageSetup paperSize="9" scale="6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AA171"/>
  <sheetViews>
    <sheetView showGridLines="0" view="pageBreakPreview" topLeftCell="A140" zoomScale="80" zoomScaleNormal="70" zoomScaleSheetLayoutView="80" workbookViewId="0">
      <selection activeCell="C53" sqref="C53"/>
    </sheetView>
  </sheetViews>
  <sheetFormatPr defaultColWidth="9.33203125" defaultRowHeight="13.8" x14ac:dyDescent="0.25"/>
  <cols>
    <col min="1" max="1" width="4.5546875" style="21" customWidth="1"/>
    <col min="2" max="2" width="42.33203125" style="21" customWidth="1"/>
    <col min="3" max="3" width="9.21875" style="21" customWidth="1"/>
    <col min="4" max="4" width="10.33203125" style="21" customWidth="1"/>
    <col min="5" max="5" width="10.109375" style="21" customWidth="1"/>
    <col min="6" max="6" width="9.5546875" style="21" customWidth="1"/>
    <col min="7" max="7" width="12.33203125" style="21" customWidth="1"/>
    <col min="8" max="8" width="8.33203125" style="21" customWidth="1"/>
    <col min="9" max="9" width="8.88671875" style="21" customWidth="1"/>
    <col min="10" max="10" width="10.77734375" style="21" customWidth="1"/>
    <col min="11" max="11" width="9.88671875" style="21" customWidth="1"/>
    <col min="12" max="12" width="8" style="21" customWidth="1"/>
    <col min="13" max="13" width="10.88671875" style="21" customWidth="1"/>
    <col min="14" max="14" width="12.33203125" style="21" customWidth="1"/>
    <col min="15" max="15" width="12.44140625" style="21" customWidth="1"/>
    <col min="16" max="16" width="9" style="21" customWidth="1"/>
    <col min="17" max="17" width="7.44140625" style="21" bestFit="1" customWidth="1"/>
    <col min="18" max="18" width="11.21875" style="21" customWidth="1"/>
    <col min="19" max="19" width="12.44140625" style="21" customWidth="1"/>
    <col min="20" max="20" width="14" style="21" customWidth="1"/>
    <col min="21" max="23" width="12.6640625" style="21" customWidth="1"/>
    <col min="24" max="24" width="15.33203125" style="21" customWidth="1"/>
    <col min="25" max="25" width="12.5546875" style="21" customWidth="1"/>
    <col min="26" max="26" width="13.44140625" style="21" customWidth="1"/>
    <col min="27" max="27" width="13.5546875" style="21" customWidth="1"/>
    <col min="28" max="16384" width="9.33203125" style="21"/>
  </cols>
  <sheetData>
    <row r="1" spans="2:27" ht="15.75" customHeight="1" x14ac:dyDescent="0.25"/>
    <row r="2" spans="2:27" ht="15" customHeight="1" x14ac:dyDescent="0.25">
      <c r="C2" s="116"/>
      <c r="D2" s="116"/>
      <c r="E2" s="116"/>
      <c r="F2" s="116"/>
      <c r="G2" s="141" t="str">
        <f>Index!B2</f>
        <v>JAIGAD POWER TRANSCO LIMITED (JPTL)</v>
      </c>
      <c r="H2" s="116"/>
      <c r="I2" s="116"/>
      <c r="J2" s="116"/>
      <c r="K2" s="116"/>
      <c r="L2" s="141"/>
      <c r="M2" s="141"/>
      <c r="N2" s="141"/>
      <c r="O2" s="141"/>
      <c r="P2" s="141"/>
      <c r="Q2" s="141"/>
      <c r="R2" s="141"/>
    </row>
    <row r="3" spans="2:27" ht="15" customHeight="1" x14ac:dyDescent="0.25">
      <c r="C3" s="117"/>
      <c r="D3" s="117"/>
      <c r="E3" s="117"/>
      <c r="F3" s="117"/>
      <c r="G3" s="300" t="s">
        <v>0</v>
      </c>
      <c r="H3" s="117"/>
      <c r="I3" s="117"/>
      <c r="J3" s="117"/>
      <c r="K3" s="117"/>
      <c r="L3" s="142"/>
      <c r="M3" s="142"/>
      <c r="N3" s="142"/>
      <c r="O3" s="142"/>
      <c r="P3" s="142"/>
      <c r="Q3" s="142"/>
      <c r="R3" s="142"/>
      <c r="S3" s="22"/>
      <c r="T3" s="22"/>
      <c r="U3" s="22"/>
      <c r="V3" s="22"/>
    </row>
    <row r="4" spans="2:27" ht="15" customHeight="1" x14ac:dyDescent="0.25">
      <c r="C4" s="118"/>
      <c r="D4" s="118"/>
      <c r="E4" s="118"/>
      <c r="F4" s="118"/>
      <c r="G4" s="120" t="s">
        <v>281</v>
      </c>
      <c r="H4" s="118"/>
      <c r="I4" s="118"/>
      <c r="J4" s="118"/>
      <c r="K4" s="118"/>
      <c r="L4" s="108"/>
      <c r="M4" s="108"/>
      <c r="N4" s="108"/>
      <c r="O4" s="108"/>
      <c r="P4" s="108"/>
      <c r="Q4" s="108"/>
      <c r="R4" s="108"/>
      <c r="S4" s="22"/>
      <c r="T4" s="22"/>
      <c r="U4" s="22"/>
      <c r="V4" s="22"/>
    </row>
    <row r="5" spans="2:27" x14ac:dyDescent="0.25">
      <c r="B5" s="23"/>
      <c r="C5" s="51"/>
      <c r="D5" s="51"/>
      <c r="E5" s="51"/>
      <c r="F5" s="22"/>
      <c r="G5" s="22"/>
      <c r="H5" s="22"/>
      <c r="I5" s="22"/>
      <c r="J5" s="22"/>
      <c r="K5" s="22"/>
      <c r="L5" s="22"/>
      <c r="M5" s="22"/>
      <c r="N5" s="22"/>
      <c r="O5" s="22"/>
      <c r="P5" s="22"/>
      <c r="Q5" s="22"/>
      <c r="R5" s="22"/>
      <c r="S5" s="22"/>
      <c r="T5" s="22"/>
      <c r="U5" s="22"/>
      <c r="V5" s="22"/>
      <c r="W5" s="22"/>
      <c r="X5" s="22"/>
      <c r="Y5" s="22"/>
      <c r="Z5" s="22"/>
      <c r="AA5" s="22"/>
    </row>
    <row r="6" spans="2:27" ht="15.75" customHeight="1" x14ac:dyDescent="0.25">
      <c r="B6" s="51" t="s">
        <v>282</v>
      </c>
      <c r="F6" s="22"/>
      <c r="G6" s="22"/>
      <c r="H6" s="22"/>
      <c r="I6" s="22"/>
      <c r="J6" s="22"/>
      <c r="K6" s="22"/>
      <c r="L6" s="22"/>
      <c r="M6" s="22"/>
      <c r="N6" s="22"/>
      <c r="O6" s="22"/>
      <c r="P6" s="22"/>
      <c r="Q6" s="22"/>
      <c r="R6" s="22"/>
      <c r="S6" s="22"/>
      <c r="T6" s="22"/>
      <c r="U6" s="22"/>
      <c r="V6" s="22"/>
      <c r="W6" s="22"/>
      <c r="X6" s="22"/>
      <c r="Y6" s="22"/>
      <c r="Z6" s="22"/>
      <c r="AA6" s="22"/>
    </row>
    <row r="7" spans="2:27" x14ac:dyDescent="0.25">
      <c r="B7" s="23"/>
      <c r="C7" s="23"/>
      <c r="D7" s="23"/>
      <c r="E7" s="23"/>
      <c r="F7" s="22"/>
      <c r="G7" s="22"/>
      <c r="H7" s="22"/>
      <c r="I7" s="22"/>
      <c r="J7" s="22"/>
      <c r="K7" s="22"/>
      <c r="L7" s="22"/>
      <c r="M7" s="22"/>
      <c r="R7" s="52" t="s">
        <v>73</v>
      </c>
      <c r="S7" s="52"/>
      <c r="T7" s="52"/>
      <c r="U7" s="52"/>
      <c r="V7" s="52"/>
      <c r="W7" s="52"/>
      <c r="X7" s="22"/>
      <c r="Y7" s="22"/>
      <c r="Z7" s="22"/>
    </row>
    <row r="8" spans="2:27" s="102" customFormat="1" ht="13.95" customHeight="1" x14ac:dyDescent="0.25">
      <c r="B8" s="1047" t="s">
        <v>283</v>
      </c>
      <c r="C8" s="1047" t="s">
        <v>284</v>
      </c>
      <c r="D8" s="1047" t="s">
        <v>285</v>
      </c>
      <c r="E8" s="1047" t="s">
        <v>286</v>
      </c>
      <c r="F8" s="1047" t="s">
        <v>287</v>
      </c>
      <c r="G8" s="1044" t="s">
        <v>288</v>
      </c>
      <c r="H8" s="1045"/>
      <c r="I8" s="1046"/>
      <c r="J8" s="1044" t="s">
        <v>289</v>
      </c>
      <c r="K8" s="1045"/>
      <c r="L8" s="1046"/>
      <c r="M8" s="1052" t="s">
        <v>290</v>
      </c>
      <c r="N8" s="1052"/>
      <c r="O8" s="1052"/>
      <c r="P8" s="1052"/>
      <c r="Q8" s="1052"/>
      <c r="R8" s="1052"/>
      <c r="S8" s="1052"/>
    </row>
    <row r="9" spans="2:27" s="102" customFormat="1" x14ac:dyDescent="0.25">
      <c r="B9" s="1048"/>
      <c r="C9" s="1048"/>
      <c r="D9" s="1048"/>
      <c r="E9" s="1048"/>
      <c r="F9" s="1048"/>
      <c r="G9" s="1050" t="s">
        <v>291</v>
      </c>
      <c r="H9" s="1050" t="s">
        <v>292</v>
      </c>
      <c r="I9" s="1050" t="s">
        <v>293</v>
      </c>
      <c r="J9" s="1050" t="s">
        <v>291</v>
      </c>
      <c r="K9" s="1050" t="s">
        <v>292</v>
      </c>
      <c r="L9" s="1050" t="s">
        <v>134</v>
      </c>
      <c r="M9" s="1050" t="s">
        <v>294</v>
      </c>
      <c r="N9" s="1047" t="s">
        <v>295</v>
      </c>
      <c r="O9" s="1054" t="s">
        <v>296</v>
      </c>
      <c r="P9" s="1055"/>
      <c r="Q9" s="1055"/>
      <c r="R9" s="1055"/>
      <c r="S9" s="1056"/>
    </row>
    <row r="10" spans="2:27" s="102" customFormat="1" ht="42" customHeight="1" x14ac:dyDescent="0.25">
      <c r="B10" s="1049"/>
      <c r="C10" s="1049"/>
      <c r="D10" s="1049"/>
      <c r="E10" s="1049"/>
      <c r="F10" s="1049"/>
      <c r="G10" s="1051"/>
      <c r="H10" s="1051"/>
      <c r="I10" s="1051"/>
      <c r="J10" s="1051"/>
      <c r="K10" s="1051"/>
      <c r="L10" s="1051"/>
      <c r="M10" s="1051"/>
      <c r="N10" s="1049"/>
      <c r="O10" s="439" t="s">
        <v>297</v>
      </c>
      <c r="P10" s="439" t="s">
        <v>298</v>
      </c>
      <c r="Q10" s="439" t="s">
        <v>299</v>
      </c>
      <c r="R10" s="439" t="s">
        <v>300</v>
      </c>
      <c r="S10" s="439" t="s">
        <v>301</v>
      </c>
    </row>
    <row r="11" spans="2:27" ht="13.8" hidden="1" customHeight="1" x14ac:dyDescent="0.25">
      <c r="B11" s="53" t="s">
        <v>75</v>
      </c>
      <c r="C11" s="873"/>
      <c r="D11" s="873"/>
      <c r="E11" s="873"/>
      <c r="F11" s="873"/>
      <c r="G11" s="873"/>
      <c r="H11" s="873"/>
      <c r="I11" s="873"/>
      <c r="J11" s="873"/>
      <c r="K11" s="873"/>
      <c r="L11" s="873"/>
      <c r="M11" s="873"/>
      <c r="N11" s="873"/>
      <c r="O11" s="873"/>
      <c r="P11" s="873"/>
      <c r="Q11" s="873"/>
      <c r="R11" s="873"/>
      <c r="S11" s="873"/>
    </row>
    <row r="12" spans="2:27" hidden="1" x14ac:dyDescent="0.25">
      <c r="B12" s="103" t="s">
        <v>302</v>
      </c>
      <c r="C12" s="873"/>
      <c r="D12" s="873"/>
      <c r="E12" s="873"/>
      <c r="F12" s="873"/>
      <c r="G12" s="873"/>
      <c r="H12" s="873"/>
      <c r="I12" s="873"/>
      <c r="J12" s="873"/>
      <c r="K12" s="873"/>
      <c r="L12" s="873"/>
      <c r="M12" s="873"/>
      <c r="N12" s="873"/>
      <c r="O12" s="873"/>
      <c r="P12" s="873"/>
      <c r="Q12" s="873"/>
      <c r="R12" s="873"/>
      <c r="S12" s="873"/>
    </row>
    <row r="13" spans="2:27" hidden="1" x14ac:dyDescent="0.25">
      <c r="B13" s="104" t="s">
        <v>303</v>
      </c>
      <c r="C13" s="873"/>
      <c r="D13" s="873"/>
      <c r="E13" s="873"/>
      <c r="F13" s="873"/>
      <c r="G13" s="873"/>
      <c r="H13" s="873"/>
      <c r="I13" s="873"/>
      <c r="J13" s="873"/>
      <c r="K13" s="873"/>
      <c r="L13" s="873"/>
      <c r="M13" s="873"/>
      <c r="N13" s="873"/>
      <c r="O13" s="873"/>
      <c r="P13" s="873"/>
      <c r="Q13" s="873"/>
      <c r="R13" s="873"/>
      <c r="S13" s="873"/>
    </row>
    <row r="14" spans="2:27" hidden="1" x14ac:dyDescent="0.25">
      <c r="B14" s="31" t="s">
        <v>1041</v>
      </c>
      <c r="C14" s="873"/>
      <c r="D14" s="873"/>
      <c r="E14" s="873"/>
      <c r="F14" s="873"/>
      <c r="G14" s="873"/>
      <c r="H14" s="873"/>
      <c r="I14" s="873"/>
      <c r="J14" s="873"/>
      <c r="K14" s="873"/>
      <c r="L14" s="873"/>
      <c r="M14" s="873"/>
      <c r="N14" s="873"/>
      <c r="O14" s="873"/>
      <c r="P14" s="873"/>
      <c r="Q14" s="873"/>
      <c r="R14" s="873"/>
      <c r="S14" s="873"/>
    </row>
    <row r="15" spans="2:27" hidden="1" x14ac:dyDescent="0.25">
      <c r="B15" s="31" t="s">
        <v>304</v>
      </c>
      <c r="C15" s="873"/>
      <c r="D15" s="873"/>
      <c r="E15" s="873"/>
      <c r="F15" s="873"/>
      <c r="G15" s="873"/>
      <c r="H15" s="873"/>
      <c r="I15" s="873"/>
      <c r="J15" s="873"/>
      <c r="K15" s="873"/>
      <c r="L15" s="873"/>
      <c r="M15" s="873"/>
      <c r="N15" s="873"/>
      <c r="O15" s="873"/>
      <c r="P15" s="873"/>
      <c r="Q15" s="873"/>
      <c r="R15" s="873"/>
      <c r="S15" s="873"/>
    </row>
    <row r="16" spans="2:27" hidden="1" x14ac:dyDescent="0.25">
      <c r="B16" s="104" t="s">
        <v>305</v>
      </c>
      <c r="C16" s="873"/>
      <c r="D16" s="873"/>
      <c r="E16" s="873"/>
      <c r="F16" s="873"/>
      <c r="G16" s="873"/>
      <c r="H16" s="873"/>
      <c r="I16" s="873"/>
      <c r="J16" s="873"/>
      <c r="K16" s="873"/>
      <c r="L16" s="873"/>
      <c r="M16" s="873"/>
      <c r="N16" s="873"/>
      <c r="O16" s="873"/>
      <c r="P16" s="873"/>
      <c r="Q16" s="873"/>
      <c r="R16" s="873"/>
      <c r="S16" s="873"/>
    </row>
    <row r="17" spans="2:19" hidden="1" x14ac:dyDescent="0.25">
      <c r="B17" s="31" t="s">
        <v>304</v>
      </c>
      <c r="C17" s="873"/>
      <c r="D17" s="873"/>
      <c r="E17" s="873"/>
      <c r="F17" s="873"/>
      <c r="G17" s="873"/>
      <c r="H17" s="873"/>
      <c r="I17" s="873"/>
      <c r="J17" s="873"/>
      <c r="K17" s="873"/>
      <c r="L17" s="873"/>
      <c r="M17" s="873"/>
      <c r="N17" s="873"/>
      <c r="O17" s="873"/>
      <c r="P17" s="873"/>
      <c r="Q17" s="873"/>
      <c r="R17" s="873"/>
      <c r="S17" s="873"/>
    </row>
    <row r="18" spans="2:19" hidden="1" x14ac:dyDescent="0.25">
      <c r="B18" s="31" t="s">
        <v>304</v>
      </c>
      <c r="C18" s="873"/>
      <c r="D18" s="873"/>
      <c r="E18" s="873"/>
      <c r="F18" s="873"/>
      <c r="G18" s="873"/>
      <c r="H18" s="873"/>
      <c r="I18" s="873"/>
      <c r="J18" s="873"/>
      <c r="K18" s="873"/>
      <c r="L18" s="873"/>
      <c r="M18" s="873"/>
      <c r="N18" s="873"/>
      <c r="O18" s="873"/>
      <c r="P18" s="873"/>
      <c r="Q18" s="873"/>
      <c r="R18" s="873"/>
      <c r="S18" s="873"/>
    </row>
    <row r="19" spans="2:19" hidden="1" x14ac:dyDescent="0.25">
      <c r="B19" s="53" t="s">
        <v>306</v>
      </c>
      <c r="C19" s="873"/>
      <c r="D19" s="873"/>
      <c r="E19" s="873"/>
      <c r="F19" s="873"/>
      <c r="G19" s="873"/>
      <c r="H19" s="873"/>
      <c r="I19" s="873"/>
      <c r="J19" s="873"/>
      <c r="K19" s="873"/>
      <c r="L19" s="873"/>
      <c r="M19" s="873"/>
      <c r="N19" s="873"/>
      <c r="O19" s="873"/>
      <c r="P19" s="873"/>
      <c r="Q19" s="873"/>
      <c r="R19" s="873"/>
      <c r="S19" s="873"/>
    </row>
    <row r="20" spans="2:19" hidden="1" x14ac:dyDescent="0.25">
      <c r="B20" s="31" t="s">
        <v>304</v>
      </c>
      <c r="C20" s="873"/>
      <c r="D20" s="873"/>
      <c r="E20" s="873"/>
      <c r="F20" s="873"/>
      <c r="G20" s="873"/>
      <c r="H20" s="873"/>
      <c r="I20" s="873"/>
      <c r="J20" s="873"/>
      <c r="K20" s="873"/>
      <c r="L20" s="873"/>
      <c r="M20" s="873"/>
      <c r="N20" s="873"/>
      <c r="O20" s="873"/>
      <c r="P20" s="873"/>
      <c r="Q20" s="873"/>
      <c r="R20" s="873"/>
      <c r="S20" s="873"/>
    </row>
    <row r="21" spans="2:19" hidden="1" x14ac:dyDescent="0.25">
      <c r="B21" s="31" t="s">
        <v>304</v>
      </c>
      <c r="C21" s="873"/>
      <c r="D21" s="873"/>
      <c r="E21" s="873"/>
      <c r="F21" s="873"/>
      <c r="G21" s="873"/>
      <c r="H21" s="873"/>
      <c r="I21" s="873"/>
      <c r="J21" s="873"/>
      <c r="K21" s="873"/>
      <c r="L21" s="873"/>
      <c r="M21" s="873"/>
      <c r="N21" s="873"/>
      <c r="O21" s="873"/>
      <c r="P21" s="873"/>
      <c r="Q21" s="873"/>
      <c r="R21" s="873"/>
      <c r="S21" s="873"/>
    </row>
    <row r="22" spans="2:19" hidden="1" x14ac:dyDescent="0.25">
      <c r="B22" s="31"/>
      <c r="C22" s="873"/>
      <c r="D22" s="873"/>
      <c r="E22" s="873"/>
      <c r="F22" s="873"/>
      <c r="G22" s="873"/>
      <c r="H22" s="873"/>
      <c r="I22" s="873"/>
      <c r="J22" s="873"/>
      <c r="K22" s="873"/>
      <c r="L22" s="873"/>
      <c r="M22" s="873"/>
      <c r="N22" s="873"/>
      <c r="O22" s="873"/>
      <c r="P22" s="873"/>
      <c r="Q22" s="873"/>
      <c r="R22" s="873"/>
      <c r="S22" s="873"/>
    </row>
    <row r="23" spans="2:19" hidden="1" x14ac:dyDescent="0.25">
      <c r="B23" s="53" t="s">
        <v>76</v>
      </c>
      <c r="C23" s="873"/>
      <c r="D23" s="873"/>
      <c r="E23" s="873"/>
      <c r="F23" s="873"/>
      <c r="G23" s="873"/>
      <c r="H23" s="873"/>
      <c r="I23" s="873"/>
      <c r="J23" s="873"/>
      <c r="K23" s="873"/>
      <c r="L23" s="873"/>
      <c r="M23" s="873"/>
      <c r="N23" s="873"/>
      <c r="O23" s="873"/>
      <c r="P23" s="873"/>
      <c r="Q23" s="873"/>
      <c r="R23" s="873"/>
      <c r="S23" s="873"/>
    </row>
    <row r="24" spans="2:19" hidden="1" x14ac:dyDescent="0.25">
      <c r="B24" s="103" t="s">
        <v>302</v>
      </c>
      <c r="C24" s="873"/>
      <c r="D24" s="873"/>
      <c r="E24" s="873"/>
      <c r="F24" s="873"/>
      <c r="G24" s="873"/>
      <c r="H24" s="873"/>
      <c r="I24" s="873"/>
      <c r="J24" s="873"/>
      <c r="K24" s="873"/>
      <c r="L24" s="873"/>
      <c r="M24" s="873"/>
      <c r="N24" s="873"/>
      <c r="O24" s="873"/>
      <c r="P24" s="873"/>
      <c r="Q24" s="873"/>
      <c r="R24" s="873"/>
      <c r="S24" s="873"/>
    </row>
    <row r="25" spans="2:19" hidden="1" x14ac:dyDescent="0.25">
      <c r="B25" s="104" t="s">
        <v>303</v>
      </c>
      <c r="C25" s="873"/>
      <c r="D25" s="873"/>
      <c r="E25" s="873"/>
      <c r="F25" s="873"/>
      <c r="G25" s="873"/>
      <c r="H25" s="873"/>
      <c r="I25" s="873"/>
      <c r="J25" s="873"/>
      <c r="K25" s="873"/>
      <c r="L25" s="873"/>
      <c r="M25" s="873"/>
      <c r="N25" s="873"/>
      <c r="O25" s="873"/>
      <c r="P25" s="873"/>
      <c r="Q25" s="873"/>
      <c r="R25" s="873"/>
      <c r="S25" s="873"/>
    </row>
    <row r="26" spans="2:19" hidden="1" x14ac:dyDescent="0.25">
      <c r="B26" s="31" t="s">
        <v>304</v>
      </c>
      <c r="C26" s="873"/>
      <c r="D26" s="873"/>
      <c r="E26" s="873"/>
      <c r="F26" s="873"/>
      <c r="G26" s="873"/>
      <c r="H26" s="873"/>
      <c r="I26" s="873"/>
      <c r="J26" s="873"/>
      <c r="K26" s="873"/>
      <c r="L26" s="873"/>
      <c r="M26" s="873"/>
      <c r="N26" s="873"/>
      <c r="O26" s="873"/>
      <c r="P26" s="873"/>
      <c r="Q26" s="873"/>
      <c r="R26" s="873"/>
      <c r="S26" s="873"/>
    </row>
    <row r="27" spans="2:19" hidden="1" x14ac:dyDescent="0.25">
      <c r="B27" s="31" t="s">
        <v>304</v>
      </c>
      <c r="C27" s="873"/>
      <c r="D27" s="873"/>
      <c r="E27" s="873"/>
      <c r="F27" s="873"/>
      <c r="G27" s="873"/>
      <c r="H27" s="873"/>
      <c r="I27" s="873"/>
      <c r="J27" s="873"/>
      <c r="K27" s="873"/>
      <c r="L27" s="873"/>
      <c r="M27" s="873"/>
      <c r="N27" s="873"/>
      <c r="O27" s="873"/>
      <c r="P27" s="873"/>
      <c r="Q27" s="873"/>
      <c r="R27" s="873"/>
      <c r="S27" s="873"/>
    </row>
    <row r="28" spans="2:19" hidden="1" x14ac:dyDescent="0.25">
      <c r="B28" s="104" t="s">
        <v>305</v>
      </c>
      <c r="C28" s="873"/>
      <c r="D28" s="873"/>
      <c r="E28" s="873"/>
      <c r="F28" s="873"/>
      <c r="G28" s="873"/>
      <c r="H28" s="873"/>
      <c r="I28" s="873"/>
      <c r="J28" s="873"/>
      <c r="K28" s="873"/>
      <c r="L28" s="873"/>
      <c r="M28" s="873"/>
      <c r="N28" s="873"/>
      <c r="O28" s="873"/>
      <c r="P28" s="873"/>
      <c r="Q28" s="873"/>
      <c r="R28" s="873"/>
      <c r="S28" s="873"/>
    </row>
    <row r="29" spans="2:19" hidden="1" x14ac:dyDescent="0.25">
      <c r="B29" s="31" t="s">
        <v>304</v>
      </c>
      <c r="C29" s="873"/>
      <c r="D29" s="873"/>
      <c r="E29" s="873"/>
      <c r="F29" s="873"/>
      <c r="G29" s="873"/>
      <c r="H29" s="873"/>
      <c r="I29" s="873"/>
      <c r="J29" s="873"/>
      <c r="K29" s="873"/>
      <c r="L29" s="873"/>
      <c r="M29" s="873"/>
      <c r="N29" s="873"/>
      <c r="O29" s="873"/>
      <c r="P29" s="873"/>
      <c r="Q29" s="873"/>
      <c r="R29" s="873"/>
      <c r="S29" s="873"/>
    </row>
    <row r="30" spans="2:19" hidden="1" x14ac:dyDescent="0.25">
      <c r="B30" s="31" t="s">
        <v>304</v>
      </c>
      <c r="C30" s="873"/>
      <c r="D30" s="873"/>
      <c r="E30" s="873"/>
      <c r="F30" s="873"/>
      <c r="G30" s="873"/>
      <c r="H30" s="873"/>
      <c r="I30" s="873"/>
      <c r="J30" s="873"/>
      <c r="K30" s="873"/>
      <c r="L30" s="873"/>
      <c r="M30" s="873"/>
      <c r="N30" s="873"/>
      <c r="O30" s="873"/>
      <c r="P30" s="873"/>
      <c r="Q30" s="873"/>
      <c r="R30" s="873"/>
      <c r="S30" s="873"/>
    </row>
    <row r="31" spans="2:19" hidden="1" x14ac:dyDescent="0.25">
      <c r="B31" s="53" t="s">
        <v>306</v>
      </c>
      <c r="C31" s="873"/>
      <c r="D31" s="873"/>
      <c r="E31" s="873"/>
      <c r="F31" s="873"/>
      <c r="G31" s="873"/>
      <c r="H31" s="873"/>
      <c r="I31" s="873"/>
      <c r="J31" s="873"/>
      <c r="K31" s="873"/>
      <c r="L31" s="873"/>
      <c r="M31" s="873"/>
      <c r="N31" s="873"/>
      <c r="O31" s="873"/>
      <c r="P31" s="873"/>
      <c r="Q31" s="873"/>
      <c r="R31" s="873"/>
      <c r="S31" s="873"/>
    </row>
    <row r="32" spans="2:19" hidden="1" x14ac:dyDescent="0.25">
      <c r="B32" s="31" t="s">
        <v>304</v>
      </c>
      <c r="C32" s="873"/>
      <c r="D32" s="873"/>
      <c r="E32" s="873"/>
      <c r="F32" s="873"/>
      <c r="G32" s="873"/>
      <c r="H32" s="873"/>
      <c r="I32" s="873"/>
      <c r="J32" s="873"/>
      <c r="K32" s="873"/>
      <c r="L32" s="873"/>
      <c r="M32" s="873"/>
      <c r="N32" s="873"/>
      <c r="O32" s="873"/>
      <c r="P32" s="873"/>
      <c r="Q32" s="873"/>
      <c r="R32" s="873"/>
      <c r="S32" s="873"/>
    </row>
    <row r="33" spans="2:19" hidden="1" x14ac:dyDescent="0.25">
      <c r="B33" s="31" t="s">
        <v>304</v>
      </c>
      <c r="C33" s="873"/>
      <c r="D33" s="873"/>
      <c r="E33" s="873"/>
      <c r="F33" s="873"/>
      <c r="G33" s="873"/>
      <c r="H33" s="873"/>
      <c r="I33" s="873"/>
      <c r="J33" s="873"/>
      <c r="K33" s="873"/>
      <c r="L33" s="873"/>
      <c r="M33" s="873"/>
      <c r="N33" s="873"/>
      <c r="O33" s="873"/>
      <c r="P33" s="873"/>
      <c r="Q33" s="873"/>
      <c r="R33" s="873"/>
      <c r="S33" s="873"/>
    </row>
    <row r="34" spans="2:19" hidden="1" x14ac:dyDescent="0.25">
      <c r="B34" s="45"/>
      <c r="C34" s="873"/>
      <c r="D34" s="873"/>
      <c r="E34" s="873"/>
      <c r="F34" s="873"/>
      <c r="G34" s="873"/>
      <c r="H34" s="873"/>
      <c r="I34" s="873"/>
      <c r="J34" s="873"/>
      <c r="K34" s="873"/>
      <c r="L34" s="873"/>
      <c r="M34" s="873"/>
      <c r="N34" s="873"/>
      <c r="O34" s="873"/>
      <c r="P34" s="873"/>
      <c r="Q34" s="873"/>
      <c r="R34" s="873"/>
      <c r="S34" s="873"/>
    </row>
    <row r="35" spans="2:19" hidden="1" x14ac:dyDescent="0.25">
      <c r="B35" s="103" t="s">
        <v>77</v>
      </c>
      <c r="C35" s="873"/>
      <c r="D35" s="873"/>
      <c r="E35" s="873"/>
      <c r="F35" s="873"/>
      <c r="G35" s="873"/>
      <c r="H35" s="873"/>
      <c r="I35" s="873"/>
      <c r="J35" s="873"/>
      <c r="K35" s="873"/>
      <c r="L35" s="873"/>
      <c r="M35" s="873"/>
      <c r="N35" s="873"/>
      <c r="O35" s="873"/>
      <c r="P35" s="873"/>
      <c r="Q35" s="873"/>
      <c r="R35" s="873"/>
      <c r="S35" s="873"/>
    </row>
    <row r="36" spans="2:19" hidden="1" x14ac:dyDescent="0.25">
      <c r="B36" s="103" t="s">
        <v>302</v>
      </c>
      <c r="C36" s="873"/>
      <c r="D36" s="873"/>
      <c r="E36" s="873"/>
      <c r="F36" s="873"/>
      <c r="G36" s="873"/>
      <c r="H36" s="873"/>
      <c r="I36" s="873"/>
      <c r="J36" s="873"/>
      <c r="K36" s="873"/>
      <c r="L36" s="873"/>
      <c r="M36" s="873"/>
      <c r="N36" s="873"/>
      <c r="O36" s="873"/>
      <c r="P36" s="873"/>
      <c r="Q36" s="873"/>
      <c r="R36" s="873"/>
      <c r="S36" s="873"/>
    </row>
    <row r="37" spans="2:19" hidden="1" x14ac:dyDescent="0.25">
      <c r="B37" s="104" t="s">
        <v>303</v>
      </c>
      <c r="C37" s="873"/>
      <c r="D37" s="873"/>
      <c r="E37" s="873"/>
      <c r="F37" s="873"/>
      <c r="G37" s="873"/>
      <c r="H37" s="873"/>
      <c r="I37" s="873"/>
      <c r="J37" s="873"/>
      <c r="K37" s="873"/>
      <c r="L37" s="873"/>
      <c r="M37" s="873"/>
      <c r="N37" s="873"/>
      <c r="O37" s="873"/>
      <c r="P37" s="873"/>
      <c r="Q37" s="873"/>
      <c r="R37" s="873"/>
      <c r="S37" s="873"/>
    </row>
    <row r="38" spans="2:19" hidden="1" x14ac:dyDescent="0.25">
      <c r="B38" s="31" t="s">
        <v>304</v>
      </c>
      <c r="C38" s="873"/>
      <c r="D38" s="873"/>
      <c r="E38" s="873"/>
      <c r="F38" s="873"/>
      <c r="G38" s="873"/>
      <c r="H38" s="873"/>
      <c r="I38" s="873"/>
      <c r="J38" s="873"/>
      <c r="K38" s="873"/>
      <c r="L38" s="873"/>
      <c r="M38" s="873"/>
      <c r="N38" s="873"/>
      <c r="O38" s="873"/>
      <c r="P38" s="873"/>
      <c r="Q38" s="873"/>
      <c r="R38" s="873"/>
      <c r="S38" s="873"/>
    </row>
    <row r="39" spans="2:19" hidden="1" x14ac:dyDescent="0.25">
      <c r="B39" s="31" t="s">
        <v>304</v>
      </c>
      <c r="C39" s="873"/>
      <c r="D39" s="873"/>
      <c r="E39" s="873"/>
      <c r="F39" s="873"/>
      <c r="G39" s="873"/>
      <c r="H39" s="873"/>
      <c r="I39" s="873"/>
      <c r="J39" s="873"/>
      <c r="K39" s="873"/>
      <c r="L39" s="873"/>
      <c r="M39" s="873"/>
      <c r="N39" s="873"/>
      <c r="O39" s="873"/>
      <c r="P39" s="873"/>
      <c r="Q39" s="873"/>
      <c r="R39" s="873"/>
      <c r="S39" s="873"/>
    </row>
    <row r="40" spans="2:19" hidden="1" x14ac:dyDescent="0.25">
      <c r="B40" s="104" t="s">
        <v>305</v>
      </c>
      <c r="C40" s="873"/>
      <c r="D40" s="873"/>
      <c r="E40" s="873"/>
      <c r="F40" s="873"/>
      <c r="G40" s="873"/>
      <c r="H40" s="873"/>
      <c r="I40" s="873"/>
      <c r="J40" s="873"/>
      <c r="K40" s="873"/>
      <c r="L40" s="873"/>
      <c r="M40" s="873"/>
      <c r="N40" s="873"/>
      <c r="O40" s="873"/>
      <c r="P40" s="873"/>
      <c r="Q40" s="873"/>
      <c r="R40" s="873"/>
      <c r="S40" s="873"/>
    </row>
    <row r="41" spans="2:19" hidden="1" x14ac:dyDescent="0.25">
      <c r="B41" s="31" t="s">
        <v>304</v>
      </c>
      <c r="C41" s="873"/>
      <c r="D41" s="873"/>
      <c r="E41" s="873"/>
      <c r="F41" s="873"/>
      <c r="G41" s="873"/>
      <c r="H41" s="873"/>
      <c r="I41" s="873"/>
      <c r="J41" s="873"/>
      <c r="K41" s="873"/>
      <c r="L41" s="873"/>
      <c r="M41" s="873"/>
      <c r="N41" s="873"/>
      <c r="O41" s="873"/>
      <c r="P41" s="873"/>
      <c r="Q41" s="873"/>
      <c r="R41" s="873"/>
      <c r="S41" s="873"/>
    </row>
    <row r="42" spans="2:19" hidden="1" x14ac:dyDescent="0.25">
      <c r="B42" s="31" t="s">
        <v>304</v>
      </c>
      <c r="C42" s="873"/>
      <c r="D42" s="873"/>
      <c r="E42" s="873"/>
      <c r="F42" s="873"/>
      <c r="G42" s="873"/>
      <c r="H42" s="873"/>
      <c r="I42" s="873"/>
      <c r="J42" s="873"/>
      <c r="K42" s="873"/>
      <c r="L42" s="873"/>
      <c r="M42" s="873"/>
      <c r="N42" s="873"/>
      <c r="O42" s="873"/>
      <c r="P42" s="873"/>
      <c r="Q42" s="873"/>
      <c r="R42" s="873"/>
      <c r="S42" s="873"/>
    </row>
    <row r="43" spans="2:19" hidden="1" x14ac:dyDescent="0.25">
      <c r="B43" s="53" t="s">
        <v>306</v>
      </c>
      <c r="C43" s="873"/>
      <c r="D43" s="873"/>
      <c r="E43" s="873"/>
      <c r="F43" s="873"/>
      <c r="G43" s="873"/>
      <c r="H43" s="873"/>
      <c r="I43" s="873"/>
      <c r="J43" s="873"/>
      <c r="K43" s="873"/>
      <c r="L43" s="873"/>
      <c r="M43" s="873"/>
      <c r="N43" s="873"/>
      <c r="O43" s="873"/>
      <c r="P43" s="873"/>
      <c r="Q43" s="873"/>
      <c r="R43" s="873"/>
      <c r="S43" s="873"/>
    </row>
    <row r="44" spans="2:19" hidden="1" x14ac:dyDescent="0.25">
      <c r="B44" s="872"/>
      <c r="C44" s="874"/>
      <c r="D44" s="875"/>
      <c r="E44" s="876"/>
      <c r="F44" s="873"/>
      <c r="G44" s="873"/>
      <c r="H44" s="873"/>
      <c r="I44" s="873"/>
      <c r="J44" s="873"/>
      <c r="K44" s="873"/>
      <c r="L44" s="537"/>
      <c r="M44" s="537"/>
      <c r="N44" s="537"/>
      <c r="O44" s="873"/>
      <c r="P44" s="873"/>
      <c r="Q44" s="873"/>
      <c r="R44" s="873"/>
      <c r="S44" s="537"/>
    </row>
    <row r="45" spans="2:19" hidden="1" x14ac:dyDescent="0.25">
      <c r="B45" s="31" t="s">
        <v>304</v>
      </c>
      <c r="C45" s="873"/>
      <c r="D45" s="873"/>
      <c r="E45" s="873"/>
      <c r="F45" s="873"/>
      <c r="G45" s="873"/>
      <c r="H45" s="873"/>
      <c r="I45" s="873"/>
      <c r="J45" s="873"/>
      <c r="K45" s="873"/>
      <c r="L45" s="873"/>
      <c r="M45" s="873"/>
      <c r="N45" s="873"/>
      <c r="O45" s="873"/>
      <c r="P45" s="873"/>
      <c r="Q45" s="873"/>
      <c r="R45" s="873"/>
      <c r="S45" s="873"/>
    </row>
    <row r="46" spans="2:19" hidden="1" x14ac:dyDescent="0.25">
      <c r="B46" s="45"/>
      <c r="C46" s="873"/>
      <c r="D46" s="873"/>
      <c r="E46" s="873"/>
      <c r="F46" s="873"/>
      <c r="G46" s="873"/>
      <c r="H46" s="873"/>
      <c r="I46" s="873"/>
      <c r="J46" s="873"/>
      <c r="K46" s="873"/>
      <c r="L46" s="873"/>
      <c r="M46" s="873"/>
      <c r="N46" s="873"/>
      <c r="O46" s="873"/>
      <c r="P46" s="873"/>
      <c r="Q46" s="873"/>
      <c r="R46" s="873"/>
      <c r="S46" s="873"/>
    </row>
    <row r="47" spans="2:19" x14ac:dyDescent="0.25">
      <c r="B47" s="103" t="s">
        <v>87</v>
      </c>
      <c r="C47" s="873"/>
      <c r="D47" s="873"/>
      <c r="E47" s="873"/>
      <c r="F47" s="873"/>
      <c r="G47" s="873"/>
      <c r="H47" s="873"/>
      <c r="I47" s="873"/>
      <c r="J47" s="873"/>
      <c r="K47" s="873"/>
      <c r="L47" s="873"/>
      <c r="M47" s="873"/>
      <c r="N47" s="873"/>
      <c r="O47" s="873"/>
      <c r="P47" s="873"/>
      <c r="Q47" s="873"/>
      <c r="R47" s="873"/>
      <c r="S47" s="873"/>
    </row>
    <row r="48" spans="2:19" x14ac:dyDescent="0.25">
      <c r="B48" s="103" t="s">
        <v>302</v>
      </c>
      <c r="C48" s="873"/>
      <c r="D48" s="873"/>
      <c r="E48" s="873"/>
      <c r="F48" s="873"/>
      <c r="G48" s="873"/>
      <c r="H48" s="873"/>
      <c r="I48" s="873"/>
      <c r="J48" s="873"/>
      <c r="K48" s="873"/>
      <c r="L48" s="873"/>
      <c r="M48" s="873"/>
      <c r="N48" s="873"/>
      <c r="O48" s="1057" t="s">
        <v>1042</v>
      </c>
      <c r="P48" s="1058"/>
      <c r="Q48" s="1058"/>
      <c r="R48" s="1058"/>
      <c r="S48" s="1059"/>
    </row>
    <row r="49" spans="2:19" x14ac:dyDescent="0.25">
      <c r="B49" s="104" t="s">
        <v>303</v>
      </c>
      <c r="C49" s="873"/>
      <c r="D49" s="873"/>
      <c r="E49" s="873"/>
      <c r="F49" s="873"/>
      <c r="G49" s="873"/>
      <c r="H49" s="873"/>
      <c r="I49" s="873"/>
      <c r="J49" s="873"/>
      <c r="K49" s="873"/>
      <c r="L49" s="873"/>
      <c r="M49" s="873"/>
      <c r="N49" s="873"/>
      <c r="O49" s="1060"/>
      <c r="P49" s="1061"/>
      <c r="Q49" s="1061"/>
      <c r="R49" s="1061"/>
      <c r="S49" s="1062"/>
    </row>
    <row r="50" spans="2:19" x14ac:dyDescent="0.25">
      <c r="B50" s="104" t="s">
        <v>305</v>
      </c>
      <c r="C50" s="873"/>
      <c r="D50" s="873"/>
      <c r="E50" s="873"/>
      <c r="F50" s="873"/>
      <c r="G50" s="873"/>
      <c r="H50" s="873"/>
      <c r="I50" s="873"/>
      <c r="J50" s="873"/>
      <c r="K50" s="873"/>
      <c r="L50" s="873"/>
      <c r="M50" s="873"/>
      <c r="N50" s="873"/>
      <c r="O50" s="1060"/>
      <c r="P50" s="1061"/>
      <c r="Q50" s="1061"/>
      <c r="R50" s="1061"/>
      <c r="S50" s="1062"/>
    </row>
    <row r="51" spans="2:19" x14ac:dyDescent="0.25">
      <c r="B51" s="31" t="s">
        <v>304</v>
      </c>
      <c r="C51" s="873"/>
      <c r="D51" s="882" t="s">
        <v>1048</v>
      </c>
      <c r="E51" s="881" t="s">
        <v>1047</v>
      </c>
      <c r="F51" s="873"/>
      <c r="G51" s="873"/>
      <c r="H51" s="873"/>
      <c r="I51" s="873"/>
      <c r="J51" s="873"/>
      <c r="K51" s="873"/>
      <c r="L51" s="873"/>
      <c r="M51" s="873"/>
      <c r="N51" s="873"/>
      <c r="O51" s="1060"/>
      <c r="P51" s="1061"/>
      <c r="Q51" s="1061"/>
      <c r="R51" s="1061"/>
      <c r="S51" s="1062"/>
    </row>
    <row r="52" spans="2:19" x14ac:dyDescent="0.25">
      <c r="B52" s="53" t="s">
        <v>1046</v>
      </c>
      <c r="C52" s="873"/>
      <c r="D52" s="873"/>
      <c r="E52" s="873"/>
      <c r="F52" s="873"/>
      <c r="G52" s="873"/>
      <c r="H52" s="873"/>
      <c r="I52" s="873"/>
      <c r="J52" s="871"/>
      <c r="K52" s="873"/>
      <c r="L52" s="873"/>
      <c r="M52" s="880"/>
      <c r="N52" s="873"/>
      <c r="O52" s="1060"/>
      <c r="P52" s="1061"/>
      <c r="Q52" s="1061"/>
      <c r="R52" s="1061"/>
      <c r="S52" s="1062"/>
    </row>
    <row r="53" spans="2:19" x14ac:dyDescent="0.25">
      <c r="B53" s="878" t="s">
        <v>990</v>
      </c>
      <c r="C53" s="873"/>
      <c r="D53" s="873"/>
      <c r="E53" s="876"/>
      <c r="F53" s="873"/>
      <c r="G53" s="879" t="s">
        <v>762</v>
      </c>
      <c r="H53" s="873"/>
      <c r="I53" s="873"/>
      <c r="J53" s="879" t="s">
        <v>762</v>
      </c>
      <c r="K53" s="873"/>
      <c r="L53" s="873"/>
      <c r="M53" s="883">
        <f>+'Capitalisation '!I7</f>
        <v>3.5000000000000003E-2</v>
      </c>
      <c r="N53" s="873"/>
      <c r="O53" s="1060"/>
      <c r="P53" s="1061"/>
      <c r="Q53" s="1061"/>
      <c r="R53" s="1061"/>
      <c r="S53" s="1062"/>
    </row>
    <row r="54" spans="2:19" x14ac:dyDescent="0.25">
      <c r="B54" s="878" t="s">
        <v>987</v>
      </c>
      <c r="C54" s="873"/>
      <c r="D54" s="873">
        <v>25</v>
      </c>
      <c r="E54" s="876">
        <v>45593</v>
      </c>
      <c r="F54" s="873"/>
      <c r="G54" s="879" t="s">
        <v>762</v>
      </c>
      <c r="H54" s="873"/>
      <c r="I54" s="873"/>
      <c r="J54" s="879" t="s">
        <v>762</v>
      </c>
      <c r="K54" s="873"/>
      <c r="L54" s="873"/>
      <c r="M54" s="883">
        <f>+'Capitalisation '!I8</f>
        <v>8.9600000000000009</v>
      </c>
      <c r="N54" s="873"/>
      <c r="O54" s="1060"/>
      <c r="P54" s="1061"/>
      <c r="Q54" s="1061"/>
      <c r="R54" s="1061"/>
      <c r="S54" s="1062"/>
    </row>
    <row r="55" spans="2:19" x14ac:dyDescent="0.25">
      <c r="B55" s="878" t="s">
        <v>993</v>
      </c>
      <c r="C55" s="873"/>
      <c r="D55" s="873">
        <v>26</v>
      </c>
      <c r="E55" s="876">
        <v>45593</v>
      </c>
      <c r="F55" s="873"/>
      <c r="G55" s="879" t="s">
        <v>762</v>
      </c>
      <c r="H55" s="873"/>
      <c r="I55" s="873"/>
      <c r="J55" s="879" t="s">
        <v>762</v>
      </c>
      <c r="K55" s="873"/>
      <c r="L55" s="873"/>
      <c r="M55" s="883">
        <f>+'Capitalisation '!I9</f>
        <v>0.11</v>
      </c>
      <c r="N55" s="873"/>
      <c r="O55" s="1060"/>
      <c r="P55" s="1061"/>
      <c r="Q55" s="1061"/>
      <c r="R55" s="1061"/>
      <c r="S55" s="1062"/>
    </row>
    <row r="56" spans="2:19" x14ac:dyDescent="0.25">
      <c r="B56" s="878" t="s">
        <v>995</v>
      </c>
      <c r="C56" s="873"/>
      <c r="D56" s="873"/>
      <c r="E56" s="876"/>
      <c r="F56" s="873"/>
      <c r="G56" s="879" t="s">
        <v>762</v>
      </c>
      <c r="H56" s="873"/>
      <c r="I56" s="873"/>
      <c r="J56" s="879" t="s">
        <v>762</v>
      </c>
      <c r="K56" s="873"/>
      <c r="L56" s="873"/>
      <c r="M56" s="883">
        <f>+'Capitalisation '!I10</f>
        <v>5.0000000000000001E-3</v>
      </c>
      <c r="N56" s="873"/>
      <c r="O56" s="1060"/>
      <c r="P56" s="1061"/>
      <c r="Q56" s="1061"/>
      <c r="R56" s="1061"/>
      <c r="S56" s="1062"/>
    </row>
    <row r="57" spans="2:19" x14ac:dyDescent="0.25">
      <c r="B57" s="878" t="s">
        <v>997</v>
      </c>
      <c r="C57" s="873"/>
      <c r="D57" s="873"/>
      <c r="E57" s="876"/>
      <c r="F57" s="873"/>
      <c r="G57" s="879" t="s">
        <v>762</v>
      </c>
      <c r="H57" s="873"/>
      <c r="I57" s="873"/>
      <c r="J57" s="879" t="s">
        <v>762</v>
      </c>
      <c r="K57" s="873"/>
      <c r="L57" s="873"/>
      <c r="M57" s="883">
        <f>+'Capitalisation '!I11</f>
        <v>0.03</v>
      </c>
      <c r="N57" s="873"/>
      <c r="O57" s="1060"/>
      <c r="P57" s="1061"/>
      <c r="Q57" s="1061"/>
      <c r="R57" s="1061"/>
      <c r="S57" s="1062"/>
    </row>
    <row r="58" spans="2:19" x14ac:dyDescent="0.25">
      <c r="B58" s="878" t="s">
        <v>1000</v>
      </c>
      <c r="C58" s="873"/>
      <c r="D58" s="873">
        <v>27</v>
      </c>
      <c r="E58" s="876">
        <v>45593</v>
      </c>
      <c r="F58" s="873"/>
      <c r="G58" s="879" t="s">
        <v>762</v>
      </c>
      <c r="H58" s="873"/>
      <c r="I58" s="873"/>
      <c r="J58" s="879" t="s">
        <v>762</v>
      </c>
      <c r="K58" s="873"/>
      <c r="L58" s="873"/>
      <c r="M58" s="883">
        <f>+'Capitalisation '!I12</f>
        <v>0.87</v>
      </c>
      <c r="N58" s="873"/>
      <c r="O58" s="1060"/>
      <c r="P58" s="1061"/>
      <c r="Q58" s="1061"/>
      <c r="R58" s="1061"/>
      <c r="S58" s="1062"/>
    </row>
    <row r="59" spans="2:19" x14ac:dyDescent="0.25">
      <c r="B59" s="878" t="s">
        <v>1001</v>
      </c>
      <c r="C59" s="873"/>
      <c r="D59" s="873">
        <v>28</v>
      </c>
      <c r="E59" s="876">
        <v>45593</v>
      </c>
      <c r="F59" s="873"/>
      <c r="G59" s="879" t="s">
        <v>762</v>
      </c>
      <c r="H59" s="873"/>
      <c r="I59" s="873"/>
      <c r="J59" s="879" t="s">
        <v>762</v>
      </c>
      <c r="K59" s="873"/>
      <c r="L59" s="873"/>
      <c r="M59" s="883">
        <f>+'Capitalisation '!I13</f>
        <v>0.17</v>
      </c>
      <c r="N59" s="873"/>
      <c r="O59" s="1060"/>
      <c r="P59" s="1061"/>
      <c r="Q59" s="1061"/>
      <c r="R59" s="1061"/>
      <c r="S59" s="1062"/>
    </row>
    <row r="60" spans="2:19" x14ac:dyDescent="0.25">
      <c r="B60" s="878" t="s">
        <v>1005</v>
      </c>
      <c r="C60" s="873"/>
      <c r="D60" s="873"/>
      <c r="E60" s="876"/>
      <c r="F60" s="873"/>
      <c r="G60" s="879" t="s">
        <v>762</v>
      </c>
      <c r="H60" s="873"/>
      <c r="I60" s="873"/>
      <c r="J60" s="879" t="s">
        <v>762</v>
      </c>
      <c r="K60" s="873"/>
      <c r="L60" s="873"/>
      <c r="M60" s="883">
        <f>+'Capitalisation '!I14</f>
        <v>7.4999999999999997E-3</v>
      </c>
      <c r="N60" s="873"/>
      <c r="O60" s="1060"/>
      <c r="P60" s="1061"/>
      <c r="Q60" s="1061"/>
      <c r="R60" s="1061"/>
      <c r="S60" s="1062"/>
    </row>
    <row r="61" spans="2:19" x14ac:dyDescent="0.25">
      <c r="B61" s="45"/>
      <c r="C61" s="873"/>
      <c r="D61" s="873"/>
      <c r="E61" s="873"/>
      <c r="F61" s="873"/>
      <c r="G61" s="873"/>
      <c r="H61" s="873"/>
      <c r="I61" s="873"/>
      <c r="J61" s="873"/>
      <c r="K61" s="873"/>
      <c r="L61" s="873"/>
      <c r="M61" s="873"/>
      <c r="N61" s="873"/>
      <c r="O61" s="1060"/>
      <c r="P61" s="1061"/>
      <c r="Q61" s="1061"/>
      <c r="R61" s="1061"/>
      <c r="S61" s="1062"/>
    </row>
    <row r="62" spans="2:19" x14ac:dyDescent="0.25">
      <c r="B62" s="103" t="s">
        <v>88</v>
      </c>
      <c r="C62" s="873"/>
      <c r="D62" s="873"/>
      <c r="E62" s="873"/>
      <c r="F62" s="873"/>
      <c r="G62" s="873"/>
      <c r="H62" s="873"/>
      <c r="I62" s="873"/>
      <c r="J62" s="873"/>
      <c r="K62" s="873"/>
      <c r="L62" s="873"/>
      <c r="M62" s="873"/>
      <c r="N62" s="873"/>
      <c r="O62" s="1060"/>
      <c r="P62" s="1061"/>
      <c r="Q62" s="1061"/>
      <c r="R62" s="1061"/>
      <c r="S62" s="1062"/>
    </row>
    <row r="63" spans="2:19" x14ac:dyDescent="0.25">
      <c r="B63" s="103" t="s">
        <v>302</v>
      </c>
      <c r="C63" s="873"/>
      <c r="D63" s="873"/>
      <c r="E63" s="873"/>
      <c r="F63" s="873"/>
      <c r="G63" s="873"/>
      <c r="H63" s="873"/>
      <c r="I63" s="873"/>
      <c r="J63" s="873"/>
      <c r="K63" s="873"/>
      <c r="L63" s="873"/>
      <c r="M63" s="873"/>
      <c r="N63" s="873"/>
      <c r="O63" s="1060"/>
      <c r="P63" s="1061"/>
      <c r="Q63" s="1061"/>
      <c r="R63" s="1061"/>
      <c r="S63" s="1062"/>
    </row>
    <row r="64" spans="2:19" x14ac:dyDescent="0.25">
      <c r="B64" s="104" t="s">
        <v>303</v>
      </c>
      <c r="C64" s="873"/>
      <c r="D64" s="873"/>
      <c r="E64" s="873"/>
      <c r="F64" s="873"/>
      <c r="G64" s="873"/>
      <c r="H64" s="873"/>
      <c r="I64" s="873"/>
      <c r="J64" s="873"/>
      <c r="K64" s="873"/>
      <c r="L64" s="873"/>
      <c r="M64" s="873"/>
      <c r="N64" s="873"/>
      <c r="O64" s="1060"/>
      <c r="P64" s="1061"/>
      <c r="Q64" s="1061"/>
      <c r="R64" s="1061"/>
      <c r="S64" s="1062"/>
    </row>
    <row r="65" spans="2:19" x14ac:dyDescent="0.25">
      <c r="B65" s="104" t="s">
        <v>305</v>
      </c>
      <c r="C65" s="873"/>
      <c r="D65" s="873"/>
      <c r="E65" s="873"/>
      <c r="F65" s="873"/>
      <c r="G65" s="873"/>
      <c r="H65" s="873"/>
      <c r="I65" s="873"/>
      <c r="J65" s="873"/>
      <c r="K65" s="873"/>
      <c r="L65" s="873"/>
      <c r="M65" s="873"/>
      <c r="N65" s="873"/>
      <c r="O65" s="1060"/>
      <c r="P65" s="1061"/>
      <c r="Q65" s="1061"/>
      <c r="R65" s="1061"/>
      <c r="S65" s="1062"/>
    </row>
    <row r="66" spans="2:19" x14ac:dyDescent="0.25">
      <c r="B66" s="53" t="s">
        <v>1046</v>
      </c>
      <c r="C66" s="873"/>
      <c r="D66" s="873"/>
      <c r="E66" s="873"/>
      <c r="F66" s="873"/>
      <c r="G66" s="873"/>
      <c r="H66" s="873"/>
      <c r="I66" s="873"/>
      <c r="J66" s="873"/>
      <c r="K66" s="873"/>
      <c r="L66" s="873"/>
      <c r="M66" s="873"/>
      <c r="N66" s="873"/>
      <c r="O66" s="1060"/>
      <c r="P66" s="1061"/>
      <c r="Q66" s="1061"/>
      <c r="R66" s="1061"/>
      <c r="S66" s="1062"/>
    </row>
    <row r="67" spans="2:19" x14ac:dyDescent="0.25">
      <c r="B67" s="878" t="s">
        <v>1002</v>
      </c>
      <c r="C67" s="873"/>
      <c r="D67" s="873">
        <v>29</v>
      </c>
      <c r="E67" s="876">
        <v>45593</v>
      </c>
      <c r="F67" s="873"/>
      <c r="G67" s="879" t="s">
        <v>763</v>
      </c>
      <c r="H67" s="873"/>
      <c r="I67" s="873"/>
      <c r="J67" s="879" t="s">
        <v>763</v>
      </c>
      <c r="K67" s="873"/>
      <c r="L67" s="873"/>
      <c r="M67" s="883">
        <f>+'Capitalisation '!I15</f>
        <v>0.4</v>
      </c>
      <c r="N67" s="873"/>
      <c r="O67" s="1060"/>
      <c r="P67" s="1061"/>
      <c r="Q67" s="1061"/>
      <c r="R67" s="1061"/>
      <c r="S67" s="1062"/>
    </row>
    <row r="68" spans="2:19" x14ac:dyDescent="0.25">
      <c r="B68" s="45"/>
      <c r="C68" s="873"/>
      <c r="D68" s="873"/>
      <c r="E68" s="873"/>
      <c r="F68" s="873"/>
      <c r="G68" s="873"/>
      <c r="H68" s="873"/>
      <c r="I68" s="873"/>
      <c r="J68" s="873"/>
      <c r="K68" s="873"/>
      <c r="L68" s="873"/>
      <c r="M68" s="873"/>
      <c r="N68" s="873"/>
      <c r="O68" s="1060"/>
      <c r="P68" s="1061"/>
      <c r="Q68" s="1061"/>
      <c r="R68" s="1061"/>
      <c r="S68" s="1062"/>
    </row>
    <row r="69" spans="2:19" x14ac:dyDescent="0.25">
      <c r="B69" s="103" t="s">
        <v>89</v>
      </c>
      <c r="C69" s="873"/>
      <c r="D69" s="873"/>
      <c r="E69" s="873"/>
      <c r="F69" s="873"/>
      <c r="G69" s="873"/>
      <c r="H69" s="873"/>
      <c r="I69" s="873"/>
      <c r="J69" s="873"/>
      <c r="K69" s="873"/>
      <c r="L69" s="873"/>
      <c r="M69" s="873"/>
      <c r="N69" s="873"/>
      <c r="O69" s="1060"/>
      <c r="P69" s="1061"/>
      <c r="Q69" s="1061"/>
      <c r="R69" s="1061"/>
      <c r="S69" s="1062"/>
    </row>
    <row r="70" spans="2:19" x14ac:dyDescent="0.25">
      <c r="B70" s="103" t="s">
        <v>302</v>
      </c>
      <c r="C70" s="873"/>
      <c r="D70" s="873"/>
      <c r="E70" s="873"/>
      <c r="F70" s="873"/>
      <c r="G70" s="873"/>
      <c r="H70" s="873"/>
      <c r="I70" s="873"/>
      <c r="J70" s="873"/>
      <c r="K70" s="873"/>
      <c r="L70" s="873"/>
      <c r="M70" s="873"/>
      <c r="N70" s="873"/>
      <c r="O70" s="1060"/>
      <c r="P70" s="1061"/>
      <c r="Q70" s="1061"/>
      <c r="R70" s="1061"/>
      <c r="S70" s="1062"/>
    </row>
    <row r="71" spans="2:19" x14ac:dyDescent="0.25">
      <c r="B71" s="104" t="s">
        <v>303</v>
      </c>
      <c r="C71" s="873"/>
      <c r="D71" s="873"/>
      <c r="E71" s="873"/>
      <c r="F71" s="873"/>
      <c r="G71" s="873"/>
      <c r="H71" s="873"/>
      <c r="I71" s="873"/>
      <c r="J71" s="873"/>
      <c r="K71" s="873"/>
      <c r="L71" s="873"/>
      <c r="M71" s="873"/>
      <c r="N71" s="873"/>
      <c r="O71" s="1060"/>
      <c r="P71" s="1061"/>
      <c r="Q71" s="1061"/>
      <c r="R71" s="1061"/>
      <c r="S71" s="1062"/>
    </row>
    <row r="72" spans="2:19" x14ac:dyDescent="0.25">
      <c r="B72" s="104" t="s">
        <v>305</v>
      </c>
      <c r="C72" s="873"/>
      <c r="D72" s="873"/>
      <c r="E72" s="873"/>
      <c r="F72" s="873"/>
      <c r="G72" s="873"/>
      <c r="H72" s="873"/>
      <c r="I72" s="873"/>
      <c r="J72" s="873"/>
      <c r="K72" s="873"/>
      <c r="L72" s="873"/>
      <c r="M72" s="873"/>
      <c r="N72" s="873"/>
      <c r="O72" s="1060"/>
      <c r="P72" s="1061"/>
      <c r="Q72" s="1061"/>
      <c r="R72" s="1061"/>
      <c r="S72" s="1062"/>
    </row>
    <row r="73" spans="2:19" x14ac:dyDescent="0.25">
      <c r="B73" s="53" t="s">
        <v>1046</v>
      </c>
      <c r="C73" s="873"/>
      <c r="D73" s="873"/>
      <c r="E73" s="873"/>
      <c r="F73" s="873"/>
      <c r="G73" s="873"/>
      <c r="H73" s="873"/>
      <c r="I73" s="873"/>
      <c r="J73" s="873"/>
      <c r="K73" s="873"/>
      <c r="L73" s="873"/>
      <c r="M73" s="873"/>
      <c r="N73" s="873"/>
      <c r="O73" s="1060"/>
      <c r="P73" s="1061"/>
      <c r="Q73" s="1061"/>
      <c r="R73" s="1061"/>
      <c r="S73" s="1062"/>
    </row>
    <row r="74" spans="2:19" x14ac:dyDescent="0.25">
      <c r="B74" s="878" t="s">
        <v>1049</v>
      </c>
      <c r="C74" s="873"/>
      <c r="D74" s="873">
        <v>30</v>
      </c>
      <c r="E74" s="876">
        <v>45593</v>
      </c>
      <c r="F74" s="873"/>
      <c r="G74" s="879" t="s">
        <v>764</v>
      </c>
      <c r="H74" s="873"/>
      <c r="I74" s="873"/>
      <c r="J74" s="879" t="s">
        <v>764</v>
      </c>
      <c r="K74" s="873"/>
      <c r="L74" s="873"/>
      <c r="M74" s="883">
        <f>+'Capitalisation '!I16</f>
        <v>3.18</v>
      </c>
      <c r="N74" s="873"/>
      <c r="O74" s="1060"/>
      <c r="P74" s="1061"/>
      <c r="Q74" s="1061"/>
      <c r="R74" s="1061"/>
      <c r="S74" s="1062"/>
    </row>
    <row r="75" spans="2:19" x14ac:dyDescent="0.25">
      <c r="B75" s="45"/>
      <c r="C75" s="873"/>
      <c r="D75" s="873"/>
      <c r="E75" s="873"/>
      <c r="F75" s="873"/>
      <c r="G75" s="873"/>
      <c r="H75" s="873"/>
      <c r="I75" s="873"/>
      <c r="J75" s="873"/>
      <c r="K75" s="873"/>
      <c r="L75" s="873"/>
      <c r="M75" s="873"/>
      <c r="N75" s="873"/>
      <c r="O75" s="1060"/>
      <c r="P75" s="1061"/>
      <c r="Q75" s="1061"/>
      <c r="R75" s="1061"/>
      <c r="S75" s="1062"/>
    </row>
    <row r="76" spans="2:19" x14ac:dyDescent="0.25">
      <c r="B76" s="103" t="s">
        <v>90</v>
      </c>
      <c r="C76" s="873"/>
      <c r="D76" s="873"/>
      <c r="E76" s="873"/>
      <c r="F76" s="873"/>
      <c r="G76" s="873"/>
      <c r="H76" s="873"/>
      <c r="I76" s="873"/>
      <c r="J76" s="873"/>
      <c r="K76" s="873"/>
      <c r="L76" s="873"/>
      <c r="M76" s="873"/>
      <c r="N76" s="873"/>
      <c r="O76" s="1060"/>
      <c r="P76" s="1061"/>
      <c r="Q76" s="1061"/>
      <c r="R76" s="1061"/>
      <c r="S76" s="1062"/>
    </row>
    <row r="77" spans="2:19" x14ac:dyDescent="0.25">
      <c r="B77" s="53" t="s">
        <v>306</v>
      </c>
      <c r="C77" s="873"/>
      <c r="D77" s="873"/>
      <c r="E77" s="873"/>
      <c r="F77" s="873"/>
      <c r="G77" s="873"/>
      <c r="H77" s="873"/>
      <c r="I77" s="873"/>
      <c r="J77" s="873"/>
      <c r="K77" s="873"/>
      <c r="L77" s="873"/>
      <c r="M77" s="873"/>
      <c r="N77" s="873"/>
      <c r="O77" s="1060"/>
      <c r="P77" s="1061"/>
      <c r="Q77" s="1061"/>
      <c r="R77" s="1061"/>
      <c r="S77" s="1062"/>
    </row>
    <row r="78" spans="2:19" x14ac:dyDescent="0.25">
      <c r="B78" s="878" t="s">
        <v>1006</v>
      </c>
      <c r="C78" s="873"/>
      <c r="D78" s="873">
        <v>31</v>
      </c>
      <c r="E78" s="876">
        <v>45593</v>
      </c>
      <c r="F78" s="873"/>
      <c r="G78" s="879" t="s">
        <v>765</v>
      </c>
      <c r="H78" s="873"/>
      <c r="I78" s="873"/>
      <c r="J78" s="879" t="s">
        <v>765</v>
      </c>
      <c r="K78" s="873"/>
      <c r="L78" s="873"/>
      <c r="M78" s="883">
        <f>+'Capitalisation '!I17</f>
        <v>1.1337600000000001</v>
      </c>
      <c r="N78" s="873"/>
      <c r="O78" s="1063"/>
      <c r="P78" s="1064"/>
      <c r="Q78" s="1064"/>
      <c r="R78" s="1064"/>
      <c r="S78" s="1065"/>
    </row>
    <row r="79" spans="2:19" hidden="1" x14ac:dyDescent="0.25">
      <c r="B79" s="103" t="s">
        <v>91</v>
      </c>
      <c r="C79" s="873"/>
      <c r="D79" s="873"/>
      <c r="E79" s="873"/>
      <c r="F79" s="873"/>
      <c r="G79" s="873"/>
      <c r="H79" s="873"/>
      <c r="I79" s="873"/>
      <c r="J79" s="873"/>
      <c r="K79" s="873"/>
      <c r="L79" s="873"/>
      <c r="M79" s="873"/>
      <c r="N79" s="873"/>
      <c r="O79" s="873"/>
      <c r="P79" s="873"/>
      <c r="Q79" s="873"/>
      <c r="R79" s="873"/>
      <c r="S79" s="873"/>
    </row>
    <row r="80" spans="2:19" hidden="1" x14ac:dyDescent="0.25">
      <c r="B80" s="31" t="s">
        <v>304</v>
      </c>
      <c r="C80" s="873"/>
      <c r="D80" s="873"/>
      <c r="E80" s="873"/>
      <c r="F80" s="873"/>
      <c r="G80" s="873"/>
      <c r="H80" s="873"/>
      <c r="I80" s="873"/>
      <c r="J80" s="873"/>
      <c r="K80" s="873"/>
      <c r="L80" s="873"/>
      <c r="M80" s="873"/>
      <c r="N80" s="873"/>
      <c r="O80" s="873"/>
      <c r="P80" s="873"/>
      <c r="Q80" s="873"/>
      <c r="R80" s="873"/>
      <c r="S80" s="873"/>
    </row>
    <row r="81" spans="2:27" hidden="1" x14ac:dyDescent="0.25">
      <c r="B81" s="31" t="s">
        <v>304</v>
      </c>
      <c r="C81" s="873"/>
      <c r="D81" s="873"/>
      <c r="E81" s="873"/>
      <c r="F81" s="873"/>
      <c r="G81" s="873"/>
      <c r="H81" s="873"/>
      <c r="I81" s="873"/>
      <c r="J81" s="873"/>
      <c r="K81" s="873"/>
      <c r="L81" s="873"/>
      <c r="M81" s="873"/>
      <c r="N81" s="873"/>
      <c r="O81" s="873"/>
      <c r="P81" s="873"/>
      <c r="Q81" s="873"/>
      <c r="R81" s="873"/>
      <c r="S81" s="873"/>
    </row>
    <row r="82" spans="2:27" hidden="1" x14ac:dyDescent="0.25">
      <c r="B82" s="31"/>
      <c r="C82" s="873"/>
      <c r="D82" s="873"/>
      <c r="E82" s="873"/>
      <c r="F82" s="873"/>
      <c r="G82" s="873"/>
      <c r="H82" s="873"/>
      <c r="I82" s="873"/>
      <c r="J82" s="873"/>
      <c r="K82" s="873"/>
      <c r="L82" s="873"/>
      <c r="M82" s="873"/>
      <c r="N82" s="873"/>
      <c r="O82" s="873"/>
      <c r="P82" s="873"/>
      <c r="Q82" s="873"/>
      <c r="R82" s="873"/>
      <c r="S82" s="873"/>
    </row>
    <row r="83" spans="2:27" hidden="1" x14ac:dyDescent="0.25">
      <c r="B83" s="53"/>
      <c r="C83" s="873"/>
      <c r="D83" s="873"/>
      <c r="E83" s="873"/>
      <c r="F83" s="873"/>
      <c r="G83" s="873"/>
      <c r="H83" s="873"/>
      <c r="I83" s="873"/>
      <c r="J83" s="873"/>
      <c r="K83" s="873"/>
      <c r="L83" s="873"/>
      <c r="M83" s="873"/>
      <c r="N83" s="873"/>
      <c r="O83" s="873"/>
      <c r="P83" s="873"/>
      <c r="Q83" s="873"/>
      <c r="R83" s="873"/>
      <c r="S83" s="873"/>
    </row>
    <row r="84" spans="2:27" x14ac:dyDescent="0.25">
      <c r="B84" s="31"/>
      <c r="C84" s="873"/>
      <c r="D84" s="873"/>
      <c r="E84" s="873"/>
      <c r="F84" s="873"/>
      <c r="G84" s="873"/>
      <c r="H84" s="873"/>
      <c r="I84" s="873"/>
      <c r="J84" s="873"/>
      <c r="K84" s="873"/>
      <c r="L84" s="873"/>
      <c r="M84" s="873"/>
      <c r="N84" s="873"/>
      <c r="O84" s="873"/>
      <c r="P84" s="873"/>
      <c r="Q84" s="873"/>
      <c r="R84" s="873"/>
      <c r="S84" s="873"/>
    </row>
    <row r="85" spans="2:27" x14ac:dyDescent="0.25">
      <c r="B85" s="115" t="s">
        <v>307</v>
      </c>
      <c r="C85" s="55"/>
      <c r="D85" s="55"/>
      <c r="E85" s="55"/>
      <c r="F85" s="55"/>
      <c r="G85" s="55"/>
      <c r="H85" s="55"/>
      <c r="I85" s="55"/>
      <c r="J85" s="55"/>
      <c r="K85" s="55"/>
      <c r="L85" s="55"/>
      <c r="M85" s="884">
        <f>SUM(M53:M78)</f>
        <v>14.901260000000001</v>
      </c>
      <c r="N85" s="55"/>
      <c r="O85" s="55"/>
      <c r="P85" s="55"/>
      <c r="Q85" s="55"/>
      <c r="R85" s="105"/>
      <c r="S85" s="105"/>
    </row>
    <row r="87" spans="2:27" x14ac:dyDescent="0.25">
      <c r="N87" s="54"/>
      <c r="O87" s="54"/>
      <c r="P87" s="54"/>
      <c r="Q87" s="54"/>
    </row>
    <row r="88" spans="2:27" ht="15" customHeight="1" x14ac:dyDescent="0.25">
      <c r="B88" s="302"/>
      <c r="C88" s="302"/>
      <c r="D88" s="302"/>
      <c r="E88" s="302"/>
      <c r="F88" s="302"/>
      <c r="G88" s="302"/>
      <c r="H88" s="302"/>
      <c r="I88" s="302"/>
      <c r="J88" s="302"/>
      <c r="K88" s="302"/>
      <c r="L88" s="300"/>
      <c r="M88" s="300"/>
      <c r="N88" s="300"/>
      <c r="O88" s="300"/>
      <c r="P88" s="300"/>
      <c r="Q88" s="300"/>
      <c r="R88" s="300"/>
      <c r="S88" s="300"/>
      <c r="T88" s="142"/>
      <c r="U88" s="142"/>
      <c r="V88" s="142"/>
      <c r="W88" s="142"/>
      <c r="X88" s="22"/>
      <c r="Y88" s="22"/>
      <c r="Z88" s="22"/>
      <c r="AA88" s="22"/>
    </row>
    <row r="89" spans="2:27" x14ac:dyDescent="0.25">
      <c r="B89" s="57" t="s">
        <v>308</v>
      </c>
    </row>
    <row r="90" spans="2:27" x14ac:dyDescent="0.25">
      <c r="K90" s="52" t="s">
        <v>73</v>
      </c>
    </row>
    <row r="91" spans="2:27" ht="25.5" customHeight="1" x14ac:dyDescent="0.25">
      <c r="B91" s="1041" t="s">
        <v>309</v>
      </c>
      <c r="C91" s="1052" t="s">
        <v>310</v>
      </c>
      <c r="D91" s="1052"/>
      <c r="E91" s="1052"/>
      <c r="F91" s="1052"/>
      <c r="G91" s="1052"/>
      <c r="H91" s="1052"/>
      <c r="I91" s="1052"/>
      <c r="J91" s="1052"/>
      <c r="K91" s="1052"/>
      <c r="L91" s="58"/>
      <c r="M91" s="58"/>
    </row>
    <row r="92" spans="2:27" ht="17.7" customHeight="1" x14ac:dyDescent="0.25">
      <c r="B92" s="1042"/>
      <c r="C92" s="1047" t="s">
        <v>285</v>
      </c>
      <c r="D92" s="1047" t="s">
        <v>286</v>
      </c>
      <c r="E92" s="1047" t="s">
        <v>311</v>
      </c>
      <c r="F92" s="1047" t="s">
        <v>312</v>
      </c>
      <c r="G92" s="1052" t="s">
        <v>313</v>
      </c>
      <c r="H92" s="1053"/>
      <c r="I92" s="1053"/>
      <c r="J92" s="1053"/>
      <c r="K92" s="1053"/>
      <c r="L92" s="409"/>
      <c r="M92" s="409"/>
    </row>
    <row r="93" spans="2:27" ht="47.25" customHeight="1" x14ac:dyDescent="0.25">
      <c r="B93" s="1043"/>
      <c r="C93" s="1049"/>
      <c r="D93" s="1049"/>
      <c r="E93" s="1049"/>
      <c r="F93" s="1049"/>
      <c r="G93" s="301" t="s">
        <v>314</v>
      </c>
      <c r="H93" s="301" t="s">
        <v>315</v>
      </c>
      <c r="I93" s="301" t="s">
        <v>316</v>
      </c>
      <c r="J93" s="301" t="s">
        <v>317</v>
      </c>
      <c r="K93" s="301" t="s">
        <v>318</v>
      </c>
    </row>
    <row r="94" spans="2:27" hidden="1" x14ac:dyDescent="0.25">
      <c r="B94" s="53" t="s">
        <v>75</v>
      </c>
      <c r="C94" s="877"/>
      <c r="D94" s="877"/>
      <c r="E94" s="877"/>
      <c r="F94" s="877"/>
      <c r="G94" s="877"/>
      <c r="H94" s="877"/>
      <c r="I94" s="877"/>
      <c r="J94" s="877"/>
      <c r="K94" s="877"/>
    </row>
    <row r="95" spans="2:27" hidden="1" x14ac:dyDescent="0.25">
      <c r="B95" s="103" t="s">
        <v>302</v>
      </c>
      <c r="C95" s="877"/>
      <c r="D95" s="877"/>
      <c r="E95" s="877"/>
      <c r="F95" s="877"/>
      <c r="G95" s="877"/>
      <c r="H95" s="877"/>
      <c r="I95" s="877"/>
      <c r="J95" s="877"/>
      <c r="K95" s="877"/>
    </row>
    <row r="96" spans="2:27" hidden="1" x14ac:dyDescent="0.25">
      <c r="B96" s="104" t="s">
        <v>303</v>
      </c>
      <c r="C96" s="877"/>
      <c r="D96" s="877"/>
      <c r="E96" s="877"/>
      <c r="F96" s="877"/>
      <c r="G96" s="877"/>
      <c r="H96" s="877"/>
      <c r="I96" s="877"/>
      <c r="J96" s="877"/>
      <c r="K96" s="877"/>
    </row>
    <row r="97" spans="2:11" hidden="1" x14ac:dyDescent="0.25">
      <c r="B97" s="31" t="s">
        <v>304</v>
      </c>
      <c r="C97" s="877"/>
      <c r="D97" s="877"/>
      <c r="E97" s="877"/>
      <c r="F97" s="877"/>
      <c r="G97" s="877"/>
      <c r="H97" s="877"/>
      <c r="I97" s="877"/>
      <c r="J97" s="877"/>
      <c r="K97" s="877"/>
    </row>
    <row r="98" spans="2:11" hidden="1" x14ac:dyDescent="0.25">
      <c r="B98" s="31" t="s">
        <v>304</v>
      </c>
      <c r="C98" s="877"/>
      <c r="D98" s="877"/>
      <c r="E98" s="877"/>
      <c r="F98" s="877"/>
      <c r="G98" s="877"/>
      <c r="H98" s="877"/>
      <c r="I98" s="877"/>
      <c r="J98" s="877"/>
      <c r="K98" s="877"/>
    </row>
    <row r="99" spans="2:11" hidden="1" x14ac:dyDescent="0.25">
      <c r="B99" s="104" t="s">
        <v>305</v>
      </c>
      <c r="C99" s="877"/>
      <c r="D99" s="877"/>
      <c r="E99" s="877"/>
      <c r="F99" s="877"/>
      <c r="G99" s="877"/>
      <c r="H99" s="877"/>
      <c r="I99" s="877"/>
      <c r="J99" s="877"/>
      <c r="K99" s="877"/>
    </row>
    <row r="100" spans="2:11" hidden="1" x14ac:dyDescent="0.25">
      <c r="B100" s="31" t="s">
        <v>304</v>
      </c>
      <c r="C100" s="877"/>
      <c r="D100" s="877"/>
      <c r="E100" s="877"/>
      <c r="F100" s="877"/>
      <c r="G100" s="877"/>
      <c r="H100" s="877"/>
      <c r="I100" s="877"/>
      <c r="J100" s="877"/>
      <c r="K100" s="877"/>
    </row>
    <row r="101" spans="2:11" hidden="1" x14ac:dyDescent="0.25">
      <c r="B101" s="31" t="s">
        <v>304</v>
      </c>
      <c r="C101" s="877"/>
      <c r="D101" s="877"/>
      <c r="E101" s="877"/>
      <c r="F101" s="877"/>
      <c r="G101" s="877"/>
      <c r="H101" s="877"/>
      <c r="I101" s="877"/>
      <c r="J101" s="877"/>
      <c r="K101" s="877"/>
    </row>
    <row r="102" spans="2:11" hidden="1" x14ac:dyDescent="0.25">
      <c r="B102" s="53" t="s">
        <v>306</v>
      </c>
      <c r="C102" s="877"/>
      <c r="D102" s="877"/>
      <c r="E102" s="877"/>
      <c r="F102" s="877"/>
      <c r="G102" s="877"/>
      <c r="H102" s="877"/>
      <c r="I102" s="877"/>
      <c r="J102" s="877"/>
      <c r="K102" s="877"/>
    </row>
    <row r="103" spans="2:11" hidden="1" x14ac:dyDescent="0.25">
      <c r="B103" s="31" t="s">
        <v>304</v>
      </c>
      <c r="C103" s="877"/>
      <c r="D103" s="877"/>
      <c r="E103" s="877"/>
      <c r="F103" s="877"/>
      <c r="G103" s="877"/>
      <c r="H103" s="877"/>
      <c r="I103" s="877"/>
      <c r="J103" s="877"/>
      <c r="K103" s="877"/>
    </row>
    <row r="104" spans="2:11" hidden="1" x14ac:dyDescent="0.25">
      <c r="B104" s="31" t="s">
        <v>304</v>
      </c>
      <c r="C104" s="877"/>
      <c r="D104" s="877"/>
      <c r="E104" s="877"/>
      <c r="F104" s="877"/>
      <c r="G104" s="877"/>
      <c r="H104" s="877"/>
      <c r="I104" s="877"/>
      <c r="J104" s="877"/>
      <c r="K104" s="877"/>
    </row>
    <row r="105" spans="2:11" hidden="1" x14ac:dyDescent="0.25">
      <c r="B105" s="31"/>
      <c r="C105" s="877"/>
      <c r="D105" s="877"/>
      <c r="E105" s="877"/>
      <c r="F105" s="877"/>
      <c r="G105" s="877"/>
      <c r="H105" s="877"/>
      <c r="I105" s="877"/>
      <c r="J105" s="877"/>
      <c r="K105" s="877"/>
    </row>
    <row r="106" spans="2:11" hidden="1" x14ac:dyDescent="0.25">
      <c r="B106" s="53" t="s">
        <v>76</v>
      </c>
      <c r="C106" s="877"/>
      <c r="D106" s="877"/>
      <c r="E106" s="877"/>
      <c r="F106" s="877"/>
      <c r="G106" s="877"/>
      <c r="H106" s="877"/>
      <c r="I106" s="877"/>
      <c r="J106" s="877"/>
      <c r="K106" s="877"/>
    </row>
    <row r="107" spans="2:11" hidden="1" x14ac:dyDescent="0.25">
      <c r="B107" s="103" t="s">
        <v>302</v>
      </c>
      <c r="C107" s="877"/>
      <c r="D107" s="877"/>
      <c r="E107" s="877"/>
      <c r="F107" s="877"/>
      <c r="G107" s="877"/>
      <c r="H107" s="877"/>
      <c r="I107" s="877"/>
      <c r="J107" s="877"/>
      <c r="K107" s="877"/>
    </row>
    <row r="108" spans="2:11" hidden="1" x14ac:dyDescent="0.25">
      <c r="B108" s="104" t="s">
        <v>303</v>
      </c>
      <c r="C108" s="877"/>
      <c r="D108" s="877"/>
      <c r="E108" s="877"/>
      <c r="F108" s="877"/>
      <c r="G108" s="877"/>
      <c r="H108" s="877"/>
      <c r="I108" s="877"/>
      <c r="J108" s="877"/>
      <c r="K108" s="877"/>
    </row>
    <row r="109" spans="2:11" hidden="1" x14ac:dyDescent="0.25">
      <c r="B109" s="31" t="s">
        <v>304</v>
      </c>
      <c r="C109" s="877"/>
      <c r="D109" s="877"/>
      <c r="E109" s="877"/>
      <c r="F109" s="877"/>
      <c r="G109" s="877"/>
      <c r="H109" s="877"/>
      <c r="I109" s="877"/>
      <c r="J109" s="877"/>
      <c r="K109" s="877"/>
    </row>
    <row r="110" spans="2:11" hidden="1" x14ac:dyDescent="0.25">
      <c r="B110" s="31" t="s">
        <v>304</v>
      </c>
      <c r="C110" s="877"/>
      <c r="D110" s="877"/>
      <c r="E110" s="877"/>
      <c r="F110" s="877"/>
      <c r="G110" s="877"/>
      <c r="H110" s="877"/>
      <c r="I110" s="877"/>
      <c r="J110" s="877"/>
      <c r="K110" s="877"/>
    </row>
    <row r="111" spans="2:11" hidden="1" x14ac:dyDescent="0.25">
      <c r="B111" s="104" t="s">
        <v>305</v>
      </c>
      <c r="C111" s="877"/>
      <c r="D111" s="877"/>
      <c r="E111" s="877"/>
      <c r="F111" s="877"/>
      <c r="G111" s="877"/>
      <c r="H111" s="877"/>
      <c r="I111" s="877"/>
      <c r="J111" s="877"/>
      <c r="K111" s="877"/>
    </row>
    <row r="112" spans="2:11" hidden="1" x14ac:dyDescent="0.25">
      <c r="B112" s="31" t="s">
        <v>304</v>
      </c>
      <c r="C112" s="877"/>
      <c r="D112" s="877"/>
      <c r="E112" s="877"/>
      <c r="F112" s="877"/>
      <c r="G112" s="877"/>
      <c r="H112" s="877"/>
      <c r="I112" s="877"/>
      <c r="J112" s="877"/>
      <c r="K112" s="877"/>
    </row>
    <row r="113" spans="2:11" hidden="1" x14ac:dyDescent="0.25">
      <c r="B113" s="31" t="s">
        <v>304</v>
      </c>
      <c r="C113" s="877"/>
      <c r="D113" s="877"/>
      <c r="E113" s="877"/>
      <c r="F113" s="877"/>
      <c r="G113" s="877"/>
      <c r="H113" s="877"/>
      <c r="I113" s="877"/>
      <c r="J113" s="877"/>
      <c r="K113" s="877"/>
    </row>
    <row r="114" spans="2:11" hidden="1" x14ac:dyDescent="0.25">
      <c r="B114" s="53" t="s">
        <v>306</v>
      </c>
      <c r="C114" s="877"/>
      <c r="D114" s="877"/>
      <c r="E114" s="877"/>
      <c r="F114" s="877"/>
      <c r="G114" s="877"/>
      <c r="H114" s="877"/>
      <c r="I114" s="877"/>
      <c r="J114" s="877"/>
      <c r="K114" s="877"/>
    </row>
    <row r="115" spans="2:11" hidden="1" x14ac:dyDescent="0.25">
      <c r="B115" s="31" t="s">
        <v>304</v>
      </c>
      <c r="C115" s="877"/>
      <c r="D115" s="877"/>
      <c r="E115" s="877"/>
      <c r="F115" s="877"/>
      <c r="G115" s="877"/>
      <c r="H115" s="877"/>
      <c r="I115" s="877"/>
      <c r="J115" s="877"/>
      <c r="K115" s="877"/>
    </row>
    <row r="116" spans="2:11" hidden="1" x14ac:dyDescent="0.25">
      <c r="B116" s="31" t="s">
        <v>304</v>
      </c>
      <c r="C116" s="877"/>
      <c r="D116" s="877"/>
      <c r="E116" s="877"/>
      <c r="F116" s="877"/>
      <c r="G116" s="877"/>
      <c r="H116" s="877"/>
      <c r="I116" s="877"/>
      <c r="J116" s="877"/>
      <c r="K116" s="877"/>
    </row>
    <row r="117" spans="2:11" hidden="1" x14ac:dyDescent="0.25">
      <c r="B117" s="31"/>
      <c r="C117" s="877"/>
      <c r="D117" s="877"/>
      <c r="E117" s="877"/>
      <c r="F117" s="877"/>
      <c r="G117" s="877"/>
      <c r="H117" s="877"/>
      <c r="I117" s="877"/>
      <c r="J117" s="877"/>
      <c r="K117" s="877"/>
    </row>
    <row r="118" spans="2:11" hidden="1" x14ac:dyDescent="0.25">
      <c r="B118" s="53" t="s">
        <v>77</v>
      </c>
      <c r="C118" s="877"/>
      <c r="D118" s="877"/>
      <c r="E118" s="877"/>
      <c r="F118" s="877"/>
      <c r="G118" s="877"/>
      <c r="H118" s="877"/>
      <c r="I118" s="877"/>
      <c r="J118" s="877"/>
      <c r="K118" s="877"/>
    </row>
    <row r="119" spans="2:11" hidden="1" x14ac:dyDescent="0.25">
      <c r="B119" s="103" t="s">
        <v>302</v>
      </c>
      <c r="C119" s="877"/>
      <c r="D119" s="877"/>
      <c r="E119" s="877"/>
      <c r="F119" s="877"/>
      <c r="G119" s="877"/>
      <c r="H119" s="877"/>
      <c r="I119" s="877"/>
      <c r="J119" s="877"/>
      <c r="K119" s="877"/>
    </row>
    <row r="120" spans="2:11" hidden="1" x14ac:dyDescent="0.25">
      <c r="B120" s="104" t="s">
        <v>303</v>
      </c>
      <c r="C120" s="877"/>
      <c r="D120" s="877"/>
      <c r="E120" s="877"/>
      <c r="F120" s="877"/>
      <c r="G120" s="877"/>
      <c r="H120" s="877"/>
      <c r="I120" s="877"/>
      <c r="J120" s="877"/>
      <c r="K120" s="877"/>
    </row>
    <row r="121" spans="2:11" hidden="1" x14ac:dyDescent="0.25">
      <c r="B121" s="31" t="s">
        <v>304</v>
      </c>
      <c r="C121" s="877"/>
      <c r="D121" s="877"/>
      <c r="E121" s="877"/>
      <c r="F121" s="877"/>
      <c r="G121" s="877"/>
      <c r="H121" s="877"/>
      <c r="I121" s="877"/>
      <c r="J121" s="877"/>
      <c r="K121" s="877"/>
    </row>
    <row r="122" spans="2:11" hidden="1" x14ac:dyDescent="0.25">
      <c r="B122" s="31" t="s">
        <v>304</v>
      </c>
      <c r="C122" s="877"/>
      <c r="D122" s="877"/>
      <c r="E122" s="877"/>
      <c r="F122" s="877"/>
      <c r="G122" s="877"/>
      <c r="H122" s="877"/>
      <c r="I122" s="877"/>
      <c r="J122" s="877"/>
      <c r="K122" s="877"/>
    </row>
    <row r="123" spans="2:11" hidden="1" x14ac:dyDescent="0.25">
      <c r="B123" s="104" t="s">
        <v>305</v>
      </c>
      <c r="C123" s="877"/>
      <c r="D123" s="877"/>
      <c r="E123" s="877"/>
      <c r="F123" s="877"/>
      <c r="G123" s="877"/>
      <c r="H123" s="877"/>
      <c r="I123" s="877"/>
      <c r="J123" s="877"/>
      <c r="K123" s="877"/>
    </row>
    <row r="124" spans="2:11" hidden="1" x14ac:dyDescent="0.25">
      <c r="B124" s="31" t="s">
        <v>304</v>
      </c>
      <c r="C124" s="877"/>
      <c r="D124" s="877"/>
      <c r="E124" s="877"/>
      <c r="F124" s="877"/>
      <c r="G124" s="877"/>
      <c r="H124" s="877"/>
      <c r="I124" s="877"/>
      <c r="J124" s="877"/>
      <c r="K124" s="877"/>
    </row>
    <row r="125" spans="2:11" hidden="1" x14ac:dyDescent="0.25">
      <c r="B125" s="31" t="s">
        <v>304</v>
      </c>
      <c r="C125" s="877"/>
      <c r="D125" s="877"/>
      <c r="E125" s="877"/>
      <c r="F125" s="877"/>
      <c r="G125" s="877"/>
      <c r="H125" s="877"/>
      <c r="I125" s="877"/>
      <c r="J125" s="877"/>
      <c r="K125" s="877"/>
    </row>
    <row r="126" spans="2:11" hidden="1" x14ac:dyDescent="0.25">
      <c r="B126" s="53" t="s">
        <v>306</v>
      </c>
      <c r="C126" s="877"/>
      <c r="D126" s="877"/>
      <c r="E126" s="877"/>
      <c r="F126" s="877"/>
      <c r="G126" s="877"/>
      <c r="H126" s="877"/>
      <c r="I126" s="877"/>
      <c r="J126" s="877"/>
      <c r="K126" s="877"/>
    </row>
    <row r="127" spans="2:11" hidden="1" x14ac:dyDescent="0.25">
      <c r="B127" s="31" t="s">
        <v>304</v>
      </c>
      <c r="C127" s="877"/>
      <c r="D127" s="877"/>
      <c r="E127" s="877"/>
      <c r="F127" s="877"/>
      <c r="G127" s="877"/>
      <c r="H127" s="877"/>
      <c r="I127" s="877"/>
      <c r="J127" s="877"/>
      <c r="K127" s="877"/>
    </row>
    <row r="128" spans="2:11" hidden="1" x14ac:dyDescent="0.25">
      <c r="B128" s="31" t="s">
        <v>304</v>
      </c>
      <c r="C128" s="877"/>
      <c r="D128" s="877"/>
      <c r="E128" s="877"/>
      <c r="F128" s="877"/>
      <c r="G128" s="877"/>
      <c r="H128" s="877"/>
      <c r="I128" s="877"/>
      <c r="J128" s="877"/>
      <c r="K128" s="877"/>
    </row>
    <row r="129" spans="2:11" hidden="1" x14ac:dyDescent="0.25">
      <c r="B129" s="45"/>
      <c r="C129" s="877"/>
      <c r="D129" s="877"/>
      <c r="E129" s="877"/>
      <c r="F129" s="877"/>
      <c r="G129" s="877"/>
      <c r="H129" s="877"/>
      <c r="I129" s="877"/>
      <c r="J129" s="877"/>
      <c r="K129" s="877"/>
    </row>
    <row r="130" spans="2:11" x14ac:dyDescent="0.25">
      <c r="B130" s="103" t="s">
        <v>87</v>
      </c>
      <c r="C130" s="875"/>
      <c r="D130" s="875"/>
      <c r="E130" s="875"/>
      <c r="F130" s="875"/>
      <c r="G130" s="875"/>
      <c r="H130" s="875"/>
      <c r="I130" s="875"/>
      <c r="J130" s="875"/>
      <c r="K130" s="875"/>
    </row>
    <row r="131" spans="2:11" x14ac:dyDescent="0.25">
      <c r="B131" s="103" t="s">
        <v>302</v>
      </c>
      <c r="C131" s="875"/>
      <c r="D131" s="875"/>
      <c r="E131" s="875"/>
      <c r="F131" s="875"/>
      <c r="G131" s="875"/>
      <c r="H131" s="875"/>
      <c r="I131" s="875"/>
      <c r="J131" s="875"/>
      <c r="K131" s="875"/>
    </row>
    <row r="132" spans="2:11" x14ac:dyDescent="0.25">
      <c r="B132" s="31" t="s">
        <v>303</v>
      </c>
      <c r="C132" s="875"/>
      <c r="D132" s="875"/>
      <c r="E132" s="875"/>
      <c r="F132" s="875"/>
      <c r="G132" s="875"/>
      <c r="H132" s="875"/>
      <c r="I132" s="875"/>
      <c r="J132" s="875"/>
      <c r="K132" s="875"/>
    </row>
    <row r="133" spans="2:11" x14ac:dyDescent="0.25">
      <c r="B133" s="31" t="s">
        <v>305</v>
      </c>
      <c r="C133" s="875"/>
      <c r="D133" s="875"/>
      <c r="E133" s="875"/>
      <c r="F133" s="875"/>
      <c r="G133" s="875"/>
      <c r="H133" s="875"/>
      <c r="I133" s="875"/>
      <c r="J133" s="875"/>
      <c r="K133" s="875"/>
    </row>
    <row r="134" spans="2:11" x14ac:dyDescent="0.25">
      <c r="B134" s="53" t="s">
        <v>1046</v>
      </c>
      <c r="C134" s="875"/>
      <c r="D134" s="875"/>
      <c r="E134" s="875"/>
      <c r="F134" s="875"/>
      <c r="G134" s="875"/>
      <c r="H134" s="875"/>
      <c r="I134" s="875"/>
      <c r="J134" s="875"/>
      <c r="K134" s="875"/>
    </row>
    <row r="135" spans="2:11" ht="13.8" customHeight="1" x14ac:dyDescent="0.25">
      <c r="B135" s="885" t="str">
        <f t="shared" ref="B135:B142" si="0">+B53</f>
        <v>Emergency Portable Light</v>
      </c>
      <c r="C135" s="875" t="str">
        <f t="shared" ref="C135:D142" si="1">IF(D53="","",D53)</f>
        <v/>
      </c>
      <c r="D135" s="886" t="str">
        <f t="shared" si="1"/>
        <v/>
      </c>
      <c r="E135" s="887">
        <f t="shared" ref="E135:E142" si="2">+M53*30%</f>
        <v>1.0500000000000001E-2</v>
      </c>
      <c r="F135" s="875"/>
      <c r="G135" s="887">
        <f>+M53*70%</f>
        <v>2.4500000000000001E-2</v>
      </c>
      <c r="H135" s="888">
        <f>+'F5'!$M$20</f>
        <v>8.2299999999999998E-2</v>
      </c>
      <c r="I135" s="1066" t="s">
        <v>1050</v>
      </c>
      <c r="J135" s="1067"/>
      <c r="K135" s="1068"/>
    </row>
    <row r="136" spans="2:11" x14ac:dyDescent="0.25">
      <c r="B136" s="885" t="str">
        <f t="shared" si="0"/>
        <v>Emergency Restoration System</v>
      </c>
      <c r="C136" s="875">
        <f t="shared" si="1"/>
        <v>25</v>
      </c>
      <c r="D136" s="886">
        <f t="shared" si="1"/>
        <v>45593</v>
      </c>
      <c r="E136" s="887">
        <f t="shared" si="2"/>
        <v>2.6880000000000002</v>
      </c>
      <c r="F136" s="875"/>
      <c r="G136" s="887">
        <f t="shared" ref="G136:G142" si="3">+M54*70%</f>
        <v>6.2720000000000002</v>
      </c>
      <c r="H136" s="888">
        <f>+'F5'!$M$20</f>
        <v>8.2299999999999998E-2</v>
      </c>
      <c r="I136" s="1069"/>
      <c r="J136" s="1070"/>
      <c r="K136" s="1071"/>
    </row>
    <row r="137" spans="2:11" x14ac:dyDescent="0.25">
      <c r="B137" s="885" t="str">
        <f t="shared" si="0"/>
        <v>Tower Footing Resistance Meter</v>
      </c>
      <c r="C137" s="875">
        <f t="shared" si="1"/>
        <v>26</v>
      </c>
      <c r="D137" s="886">
        <f t="shared" si="1"/>
        <v>45593</v>
      </c>
      <c r="E137" s="887">
        <f t="shared" si="2"/>
        <v>3.3000000000000002E-2</v>
      </c>
      <c r="F137" s="875"/>
      <c r="G137" s="887">
        <f t="shared" si="3"/>
        <v>7.6999999999999999E-2</v>
      </c>
      <c r="H137" s="888">
        <f>+'F5'!$M$20</f>
        <v>8.2299999999999998E-2</v>
      </c>
      <c r="I137" s="1069"/>
      <c r="J137" s="1070"/>
      <c r="K137" s="1071"/>
    </row>
    <row r="138" spans="2:11" x14ac:dyDescent="0.25">
      <c r="B138" s="885" t="str">
        <f t="shared" si="0"/>
        <v>Binoculars</v>
      </c>
      <c r="C138" s="875" t="str">
        <f t="shared" si="1"/>
        <v/>
      </c>
      <c r="D138" s="886" t="str">
        <f t="shared" si="1"/>
        <v/>
      </c>
      <c r="E138" s="887">
        <f t="shared" si="2"/>
        <v>1.5E-3</v>
      </c>
      <c r="F138" s="875"/>
      <c r="G138" s="887">
        <f t="shared" si="3"/>
        <v>3.4999999999999996E-3</v>
      </c>
      <c r="H138" s="888">
        <f>+'F5'!$M$20</f>
        <v>8.2299999999999998E-2</v>
      </c>
      <c r="I138" s="1069"/>
      <c r="J138" s="1070"/>
      <c r="K138" s="1071"/>
    </row>
    <row r="139" spans="2:11" x14ac:dyDescent="0.25">
      <c r="B139" s="885" t="str">
        <f t="shared" si="0"/>
        <v>Laptop</v>
      </c>
      <c r="C139" s="875" t="str">
        <f t="shared" si="1"/>
        <v/>
      </c>
      <c r="D139" s="886" t="str">
        <f t="shared" si="1"/>
        <v/>
      </c>
      <c r="E139" s="887">
        <f t="shared" si="2"/>
        <v>8.9999999999999993E-3</v>
      </c>
      <c r="F139" s="875"/>
      <c r="G139" s="887">
        <f t="shared" si="3"/>
        <v>2.0999999999999998E-2</v>
      </c>
      <c r="H139" s="888">
        <f>+'F5'!$M$20</f>
        <v>8.2299999999999998E-2</v>
      </c>
      <c r="I139" s="1069"/>
      <c r="J139" s="1070"/>
      <c r="K139" s="1071"/>
    </row>
    <row r="140" spans="2:11" x14ac:dyDescent="0.25">
      <c r="B140" s="885" t="str">
        <f t="shared" si="0"/>
        <v>Travelling wave Fault location system</v>
      </c>
      <c r="C140" s="875">
        <f t="shared" si="1"/>
        <v>27</v>
      </c>
      <c r="D140" s="886">
        <f t="shared" si="1"/>
        <v>45593</v>
      </c>
      <c r="E140" s="887">
        <f t="shared" si="2"/>
        <v>0.26100000000000001</v>
      </c>
      <c r="F140" s="875"/>
      <c r="G140" s="887">
        <f t="shared" si="3"/>
        <v>0.60899999999999999</v>
      </c>
      <c r="H140" s="888">
        <f>+'F5'!$M$20</f>
        <v>8.2299999999999998E-2</v>
      </c>
      <c r="I140" s="1069"/>
      <c r="J140" s="1070"/>
      <c r="K140" s="1071"/>
    </row>
    <row r="141" spans="2:11" x14ac:dyDescent="0.25">
      <c r="B141" s="885" t="str">
        <f t="shared" si="0"/>
        <v>Solar Roof shade for office building</v>
      </c>
      <c r="C141" s="875">
        <f t="shared" si="1"/>
        <v>28</v>
      </c>
      <c r="D141" s="886">
        <f t="shared" si="1"/>
        <v>45593</v>
      </c>
      <c r="E141" s="887">
        <f t="shared" si="2"/>
        <v>5.1000000000000004E-2</v>
      </c>
      <c r="F141" s="875"/>
      <c r="G141" s="887">
        <f t="shared" si="3"/>
        <v>0.11899999999999999</v>
      </c>
      <c r="H141" s="888">
        <f>+'F5'!$M$20</f>
        <v>8.2299999999999998E-2</v>
      </c>
      <c r="I141" s="1069"/>
      <c r="J141" s="1070"/>
      <c r="K141" s="1071"/>
    </row>
    <row r="142" spans="2:11" x14ac:dyDescent="0.25">
      <c r="B142" s="885" t="str">
        <f t="shared" si="0"/>
        <v>Face recognition attendance machines</v>
      </c>
      <c r="C142" s="875" t="str">
        <f t="shared" si="1"/>
        <v/>
      </c>
      <c r="D142" s="886" t="str">
        <f t="shared" si="1"/>
        <v/>
      </c>
      <c r="E142" s="887">
        <f t="shared" si="2"/>
        <v>2.2499999999999998E-3</v>
      </c>
      <c r="F142" s="875"/>
      <c r="G142" s="887">
        <f t="shared" si="3"/>
        <v>5.2499999999999995E-3</v>
      </c>
      <c r="H142" s="888">
        <f>+'F5'!$M$20</f>
        <v>8.2299999999999998E-2</v>
      </c>
      <c r="I142" s="1069"/>
      <c r="J142" s="1070"/>
      <c r="K142" s="1071"/>
    </row>
    <row r="143" spans="2:11" x14ac:dyDescent="0.25">
      <c r="B143" s="45"/>
      <c r="C143" s="875"/>
      <c r="D143" s="875"/>
      <c r="E143" s="875"/>
      <c r="F143" s="875"/>
      <c r="G143" s="875"/>
      <c r="H143" s="875"/>
      <c r="I143" s="1069"/>
      <c r="J143" s="1070"/>
      <c r="K143" s="1071"/>
    </row>
    <row r="144" spans="2:11" x14ac:dyDescent="0.25">
      <c r="B144" s="103" t="s">
        <v>88</v>
      </c>
      <c r="C144" s="875"/>
      <c r="D144" s="875"/>
      <c r="E144" s="875"/>
      <c r="F144" s="875"/>
      <c r="G144" s="875"/>
      <c r="H144" s="875"/>
      <c r="I144" s="1069"/>
      <c r="J144" s="1070"/>
      <c r="K144" s="1071"/>
    </row>
    <row r="145" spans="2:11" x14ac:dyDescent="0.25">
      <c r="B145" s="103" t="s">
        <v>302</v>
      </c>
      <c r="C145" s="875"/>
      <c r="D145" s="875"/>
      <c r="E145" s="875"/>
      <c r="F145" s="875"/>
      <c r="G145" s="875"/>
      <c r="H145" s="875"/>
      <c r="I145" s="1069"/>
      <c r="J145" s="1070"/>
      <c r="K145" s="1071"/>
    </row>
    <row r="146" spans="2:11" x14ac:dyDescent="0.25">
      <c r="B146" s="31" t="s">
        <v>303</v>
      </c>
      <c r="C146" s="875"/>
      <c r="D146" s="875"/>
      <c r="E146" s="875"/>
      <c r="F146" s="875"/>
      <c r="G146" s="875"/>
      <c r="H146" s="875"/>
      <c r="I146" s="1069"/>
      <c r="J146" s="1070"/>
      <c r="K146" s="1071"/>
    </row>
    <row r="147" spans="2:11" x14ac:dyDescent="0.25">
      <c r="B147" s="31" t="s">
        <v>305</v>
      </c>
      <c r="C147" s="875"/>
      <c r="D147" s="875"/>
      <c r="E147" s="875"/>
      <c r="F147" s="875"/>
      <c r="G147" s="875"/>
      <c r="H147" s="875"/>
      <c r="I147" s="1069"/>
      <c r="J147" s="1070"/>
      <c r="K147" s="1071"/>
    </row>
    <row r="148" spans="2:11" x14ac:dyDescent="0.25">
      <c r="B148" s="53" t="s">
        <v>1046</v>
      </c>
      <c r="C148" s="875"/>
      <c r="D148" s="875"/>
      <c r="E148" s="875"/>
      <c r="F148" s="875"/>
      <c r="G148" s="875"/>
      <c r="H148" s="875"/>
      <c r="I148" s="1069"/>
      <c r="J148" s="1070"/>
      <c r="K148" s="1071"/>
    </row>
    <row r="149" spans="2:11" x14ac:dyDescent="0.25">
      <c r="B149" s="885" t="str">
        <f>+B67</f>
        <v>Control switching device</v>
      </c>
      <c r="C149" s="875">
        <f t="shared" ref="C149:D149" si="4">IF(D67="","",D67)</f>
        <v>29</v>
      </c>
      <c r="D149" s="886">
        <f t="shared" si="4"/>
        <v>45593</v>
      </c>
      <c r="E149" s="887">
        <f t="shared" ref="E149" si="5">+M67*30%</f>
        <v>0.12</v>
      </c>
      <c r="F149" s="875"/>
      <c r="G149" s="887">
        <f t="shared" ref="G149" si="6">+M67*70%</f>
        <v>0.27999999999999997</v>
      </c>
      <c r="H149" s="888">
        <f>'F5'!$N$20</f>
        <v>8.2299999999999998E-2</v>
      </c>
      <c r="I149" s="1069"/>
      <c r="J149" s="1070"/>
      <c r="K149" s="1071"/>
    </row>
    <row r="150" spans="2:11" x14ac:dyDescent="0.25">
      <c r="B150" s="45"/>
      <c r="C150" s="875"/>
      <c r="D150" s="875"/>
      <c r="E150" s="875"/>
      <c r="F150" s="875"/>
      <c r="G150" s="875"/>
      <c r="H150" s="875"/>
      <c r="I150" s="1069"/>
      <c r="J150" s="1070"/>
      <c r="K150" s="1071"/>
    </row>
    <row r="151" spans="2:11" x14ac:dyDescent="0.25">
      <c r="B151" s="103" t="s">
        <v>89</v>
      </c>
      <c r="C151" s="875"/>
      <c r="D151" s="875"/>
      <c r="E151" s="875"/>
      <c r="F151" s="875"/>
      <c r="G151" s="875"/>
      <c r="H151" s="875"/>
      <c r="I151" s="1069"/>
      <c r="J151" s="1070"/>
      <c r="K151" s="1071"/>
    </row>
    <row r="152" spans="2:11" x14ac:dyDescent="0.25">
      <c r="B152" s="103" t="s">
        <v>302</v>
      </c>
      <c r="C152" s="875"/>
      <c r="D152" s="875"/>
      <c r="E152" s="875"/>
      <c r="F152" s="875"/>
      <c r="G152" s="875"/>
      <c r="H152" s="875"/>
      <c r="I152" s="1069"/>
      <c r="J152" s="1070"/>
      <c r="K152" s="1071"/>
    </row>
    <row r="153" spans="2:11" x14ac:dyDescent="0.25">
      <c r="B153" s="31" t="s">
        <v>303</v>
      </c>
      <c r="C153" s="875"/>
      <c r="D153" s="875"/>
      <c r="E153" s="875"/>
      <c r="F153" s="875"/>
      <c r="G153" s="875"/>
      <c r="H153" s="875"/>
      <c r="I153" s="1069"/>
      <c r="J153" s="1070"/>
      <c r="K153" s="1071"/>
    </row>
    <row r="154" spans="2:11" x14ac:dyDescent="0.25">
      <c r="B154" s="31" t="s">
        <v>305</v>
      </c>
      <c r="C154" s="875"/>
      <c r="D154" s="875"/>
      <c r="E154" s="875"/>
      <c r="F154" s="875"/>
      <c r="G154" s="875"/>
      <c r="H154" s="875"/>
      <c r="I154" s="1069"/>
      <c r="J154" s="1070"/>
      <c r="K154" s="1071"/>
    </row>
    <row r="155" spans="2:11" x14ac:dyDescent="0.25">
      <c r="B155" s="53" t="s">
        <v>306</v>
      </c>
      <c r="C155" s="875"/>
      <c r="D155" s="875"/>
      <c r="E155" s="875"/>
      <c r="F155" s="875"/>
      <c r="G155" s="875"/>
      <c r="H155" s="875"/>
      <c r="I155" s="1069"/>
      <c r="J155" s="1070"/>
      <c r="K155" s="1071"/>
    </row>
    <row r="156" spans="2:11" x14ac:dyDescent="0.25">
      <c r="B156" s="885" t="str">
        <f>+B74</f>
        <v>OPGW- (48 core) for JGD-NKY ckt-I (55kM)</v>
      </c>
      <c r="C156" s="875">
        <f>IF(D74="","",D74)</f>
        <v>30</v>
      </c>
      <c r="D156" s="886">
        <f>IF(E74="","",E74)</f>
        <v>45593</v>
      </c>
      <c r="E156" s="887">
        <f>+M74*30%</f>
        <v>0.95399999999999996</v>
      </c>
      <c r="F156" s="875"/>
      <c r="G156" s="887">
        <f>+M74*70%</f>
        <v>2.226</v>
      </c>
      <c r="H156" s="888">
        <f>'F5'!$N$20</f>
        <v>8.2299999999999998E-2</v>
      </c>
      <c r="I156" s="1069"/>
      <c r="J156" s="1070"/>
      <c r="K156" s="1071"/>
    </row>
    <row r="157" spans="2:11" x14ac:dyDescent="0.25">
      <c r="B157" s="45"/>
      <c r="C157" s="875"/>
      <c r="D157" s="875"/>
      <c r="E157" s="875"/>
      <c r="F157" s="875"/>
      <c r="G157" s="875"/>
      <c r="H157" s="875"/>
      <c r="I157" s="1069"/>
      <c r="J157" s="1070"/>
      <c r="K157" s="1071"/>
    </row>
    <row r="158" spans="2:11" x14ac:dyDescent="0.25">
      <c r="B158" s="103" t="s">
        <v>90</v>
      </c>
      <c r="C158" s="875"/>
      <c r="D158" s="875"/>
      <c r="E158" s="875"/>
      <c r="F158" s="875"/>
      <c r="G158" s="875"/>
      <c r="H158" s="875"/>
      <c r="I158" s="1069"/>
      <c r="J158" s="1070"/>
      <c r="K158" s="1071"/>
    </row>
    <row r="159" spans="2:11" x14ac:dyDescent="0.25">
      <c r="B159" s="53" t="s">
        <v>306</v>
      </c>
      <c r="C159" s="875"/>
      <c r="D159" s="875"/>
      <c r="E159" s="875"/>
      <c r="F159" s="875"/>
      <c r="G159" s="875"/>
      <c r="H159" s="875"/>
      <c r="I159" s="1069"/>
      <c r="J159" s="1070"/>
      <c r="K159" s="1071"/>
    </row>
    <row r="160" spans="2:11" x14ac:dyDescent="0.25">
      <c r="B160" s="885" t="str">
        <f>+B78</f>
        <v>Transmission line surge arrestor</v>
      </c>
      <c r="C160" s="875">
        <f>IF(D78="","",D78)</f>
        <v>31</v>
      </c>
      <c r="D160" s="886">
        <f>IF(E78="","",E78)</f>
        <v>45593</v>
      </c>
      <c r="E160" s="887">
        <f>+M78*30%</f>
        <v>0.34012800000000004</v>
      </c>
      <c r="F160" s="875"/>
      <c r="G160" s="887">
        <f>+M78*70%</f>
        <v>0.793632</v>
      </c>
      <c r="H160" s="888">
        <f>'F5'!$N$20</f>
        <v>8.2299999999999998E-2</v>
      </c>
      <c r="I160" s="1069"/>
      <c r="J160" s="1070"/>
      <c r="K160" s="1071"/>
    </row>
    <row r="161" spans="2:11" x14ac:dyDescent="0.25">
      <c r="B161" s="45"/>
      <c r="C161" s="875"/>
      <c r="D161" s="875"/>
      <c r="E161" s="875"/>
      <c r="F161" s="875"/>
      <c r="G161" s="875"/>
      <c r="H161" s="875"/>
      <c r="I161" s="1069"/>
      <c r="J161" s="1070"/>
      <c r="K161" s="1071"/>
    </row>
    <row r="162" spans="2:11" hidden="1" x14ac:dyDescent="0.25">
      <c r="B162" s="103" t="s">
        <v>91</v>
      </c>
      <c r="C162" s="875"/>
      <c r="D162" s="875"/>
      <c r="E162" s="875"/>
      <c r="F162" s="875"/>
      <c r="G162" s="875"/>
      <c r="H162" s="875"/>
      <c r="I162" s="1069"/>
      <c r="J162" s="1070"/>
      <c r="K162" s="1071"/>
    </row>
    <row r="163" spans="2:11" hidden="1" x14ac:dyDescent="0.25">
      <c r="B163" s="31" t="s">
        <v>304</v>
      </c>
      <c r="C163" s="875"/>
      <c r="D163" s="875"/>
      <c r="E163" s="875"/>
      <c r="F163" s="875"/>
      <c r="G163" s="875"/>
      <c r="H163" s="875"/>
      <c r="I163" s="1069"/>
      <c r="J163" s="1070"/>
      <c r="K163" s="1071"/>
    </row>
    <row r="164" spans="2:11" hidden="1" x14ac:dyDescent="0.25">
      <c r="B164" s="31" t="s">
        <v>304</v>
      </c>
      <c r="C164" s="875"/>
      <c r="D164" s="875"/>
      <c r="E164" s="875"/>
      <c r="F164" s="875"/>
      <c r="G164" s="875"/>
      <c r="H164" s="875"/>
      <c r="I164" s="1069"/>
      <c r="J164" s="1070"/>
      <c r="K164" s="1071"/>
    </row>
    <row r="165" spans="2:11" hidden="1" x14ac:dyDescent="0.25">
      <c r="B165" s="31"/>
      <c r="C165" s="875"/>
      <c r="D165" s="875"/>
      <c r="E165" s="875"/>
      <c r="F165" s="875"/>
      <c r="G165" s="875"/>
      <c r="H165" s="875"/>
      <c r="I165" s="1069"/>
      <c r="J165" s="1070"/>
      <c r="K165" s="1071"/>
    </row>
    <row r="166" spans="2:11" hidden="1" x14ac:dyDescent="0.25">
      <c r="B166" s="53"/>
      <c r="C166" s="875"/>
      <c r="D166" s="875"/>
      <c r="E166" s="875"/>
      <c r="F166" s="875"/>
      <c r="G166" s="875"/>
      <c r="H166" s="875"/>
      <c r="I166" s="1072"/>
      <c r="J166" s="1073"/>
      <c r="K166" s="1074"/>
    </row>
    <row r="167" spans="2:11" hidden="1" x14ac:dyDescent="0.25">
      <c r="B167" s="31"/>
      <c r="C167" s="31"/>
      <c r="D167" s="31"/>
      <c r="E167" s="31"/>
      <c r="F167" s="31"/>
      <c r="G167" s="31"/>
      <c r="H167" s="31"/>
      <c r="I167" s="31"/>
      <c r="J167" s="31"/>
      <c r="K167" s="31"/>
    </row>
    <row r="168" spans="2:11" x14ac:dyDescent="0.25">
      <c r="B168" s="115" t="s">
        <v>307</v>
      </c>
      <c r="C168" s="55"/>
      <c r="D168" s="55"/>
      <c r="E168" s="889">
        <f>SUM(E135:E160)</f>
        <v>4.4703780000000002</v>
      </c>
      <c r="F168" s="55"/>
      <c r="G168" s="889">
        <f>SUM(G135:G160)</f>
        <v>10.430882</v>
      </c>
      <c r="H168" s="55"/>
      <c r="I168" s="55"/>
      <c r="J168" s="55"/>
      <c r="K168" s="55"/>
    </row>
    <row r="170" spans="2:11" ht="28.2" customHeight="1" x14ac:dyDescent="0.25">
      <c r="B170" s="1039" t="s">
        <v>319</v>
      </c>
      <c r="C170" s="1039"/>
      <c r="D170" s="1039"/>
      <c r="E170" s="1039"/>
      <c r="F170" s="1039"/>
      <c r="G170" s="1039"/>
      <c r="H170" s="1039"/>
      <c r="I170" s="1039"/>
      <c r="J170" s="1039"/>
      <c r="K170" s="1039"/>
    </row>
    <row r="171" spans="2:11" x14ac:dyDescent="0.25">
      <c r="B171" s="1040" t="s">
        <v>320</v>
      </c>
      <c r="C171" s="1040"/>
      <c r="D171" s="1040"/>
      <c r="E171" s="1040"/>
      <c r="F171" s="1040"/>
      <c r="G171" s="1040"/>
      <c r="H171" s="1040"/>
      <c r="I171" s="1040"/>
      <c r="J171" s="1040"/>
      <c r="K171" s="1040"/>
    </row>
  </sheetData>
  <mergeCells count="28">
    <mergeCell ref="I135:K166"/>
    <mergeCell ref="E92:E93"/>
    <mergeCell ref="O9:S9"/>
    <mergeCell ref="M8:S8"/>
    <mergeCell ref="J9:J10"/>
    <mergeCell ref="K9:K10"/>
    <mergeCell ref="L9:L10"/>
    <mergeCell ref="M9:M10"/>
    <mergeCell ref="N9:N10"/>
    <mergeCell ref="J8:L8"/>
    <mergeCell ref="H9:H10"/>
    <mergeCell ref="O48:S78"/>
    <mergeCell ref="B170:K170"/>
    <mergeCell ref="B171:K171"/>
    <mergeCell ref="B91:B93"/>
    <mergeCell ref="G8:I8"/>
    <mergeCell ref="B8:B10"/>
    <mergeCell ref="I9:I10"/>
    <mergeCell ref="C8:C10"/>
    <mergeCell ref="D8:D10"/>
    <mergeCell ref="E8:E10"/>
    <mergeCell ref="F8:F10"/>
    <mergeCell ref="G9:G10"/>
    <mergeCell ref="C92:C93"/>
    <mergeCell ref="D92:D93"/>
    <mergeCell ref="C91:K91"/>
    <mergeCell ref="G92:K92"/>
    <mergeCell ref="F92:F93"/>
  </mergeCells>
  <pageMargins left="0.23622047244094491" right="0.23622047244094491" top="0.43307086614173229" bottom="0.39370078740157483" header="0.23622047244094491" footer="0.23622047244094491"/>
  <pageSetup paperSize="9" scale="67" orientation="landscape" r:id="rId1"/>
  <headerFooter alignWithMargins="0"/>
  <rowBreaks count="1" manualBreakCount="1">
    <brk id="87" max="16383" man="1"/>
  </rowBreaks>
  <colBreaks count="1" manualBreakCount="1">
    <brk id="19"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AX92"/>
  <sheetViews>
    <sheetView showGridLines="0" view="pageBreakPreview" topLeftCell="A9" zoomScale="60" zoomScaleNormal="80" workbookViewId="0">
      <selection activeCell="E49" sqref="E49:F64"/>
    </sheetView>
  </sheetViews>
  <sheetFormatPr defaultColWidth="9.33203125" defaultRowHeight="13.8" x14ac:dyDescent="0.25"/>
  <cols>
    <col min="1" max="1" width="4.5546875" style="21" customWidth="1"/>
    <col min="2" max="2" width="8.33203125" style="21" customWidth="1"/>
    <col min="3" max="3" width="50.109375" style="21" customWidth="1"/>
    <col min="4" max="4" width="10.44140625" style="21" customWidth="1"/>
    <col min="5" max="5" width="11.33203125" style="21" customWidth="1"/>
    <col min="6" max="6" width="13.77734375" style="21" customWidth="1"/>
    <col min="7" max="7" width="12.77734375" style="21" customWidth="1"/>
    <col min="8" max="8" width="12" style="21" customWidth="1"/>
    <col min="9" max="9" width="16.6640625" style="21" customWidth="1"/>
    <col min="10" max="10" width="13.33203125" style="21" customWidth="1"/>
    <col min="11" max="11" width="13.109375" style="21" customWidth="1"/>
    <col min="12" max="12" width="14.44140625" style="21" customWidth="1"/>
    <col min="13" max="13" width="14.6640625" style="21" customWidth="1"/>
    <col min="14" max="14" width="15.5546875" style="21" customWidth="1"/>
    <col min="15" max="16" width="15.5546875" style="21" hidden="1" customWidth="1"/>
    <col min="17" max="18" width="14.44140625" style="21" hidden="1" customWidth="1"/>
    <col min="19" max="23" width="14.44140625" style="21" customWidth="1"/>
    <col min="24" max="24" width="16.33203125" style="21" hidden="1" customWidth="1"/>
    <col min="25" max="27" width="14.44140625" style="21" hidden="1" customWidth="1"/>
    <col min="28" max="29" width="14.44140625" style="21" customWidth="1"/>
    <col min="30" max="30" width="17.33203125" style="21" customWidth="1"/>
    <col min="31" max="31" width="15.6640625" style="21" customWidth="1"/>
    <col min="32" max="32" width="14.6640625" style="21" customWidth="1"/>
    <col min="33" max="33" width="19.6640625" style="21" hidden="1" customWidth="1"/>
    <col min="34" max="34" width="15" style="21" hidden="1" customWidth="1"/>
    <col min="35" max="36" width="15.6640625" style="21" hidden="1" customWidth="1"/>
    <col min="37" max="39" width="15.6640625" style="21" customWidth="1"/>
    <col min="40" max="40" width="14.44140625" style="21" customWidth="1"/>
    <col min="41" max="42" width="16" style="21" customWidth="1"/>
    <col min="43" max="43" width="14" style="21" customWidth="1"/>
    <col min="44" max="46" width="12.6640625" style="21" customWidth="1"/>
    <col min="47" max="47" width="15.33203125" style="21" customWidth="1"/>
    <col min="48" max="48" width="12.5546875" style="21" customWidth="1"/>
    <col min="49" max="49" width="13.44140625" style="21" customWidth="1"/>
    <col min="50" max="50" width="13.5546875" style="21" customWidth="1"/>
    <col min="51" max="53" width="9.33203125" style="21"/>
    <col min="54" max="54" width="11.33203125" style="21" customWidth="1"/>
    <col min="55" max="16384" width="9.33203125" style="21"/>
  </cols>
  <sheetData>
    <row r="2" spans="2:50" x14ac:dyDescent="0.25">
      <c r="C2" s="116"/>
      <c r="D2" s="116"/>
      <c r="E2" s="116"/>
      <c r="F2" s="116"/>
      <c r="G2" s="116"/>
      <c r="H2" s="116"/>
      <c r="I2" s="116"/>
      <c r="J2" s="116"/>
      <c r="K2" s="116"/>
      <c r="L2" s="116"/>
      <c r="M2" s="116"/>
      <c r="N2" s="116"/>
      <c r="O2" s="116"/>
      <c r="P2" s="116"/>
      <c r="Q2" s="116"/>
      <c r="R2" s="116"/>
      <c r="S2" s="141"/>
      <c r="T2" s="141"/>
      <c r="U2" s="141"/>
      <c r="V2" s="141"/>
      <c r="W2" s="141"/>
      <c r="X2" s="141"/>
      <c r="Y2" s="141"/>
      <c r="Z2" s="141"/>
    </row>
    <row r="3" spans="2:50" x14ac:dyDescent="0.25">
      <c r="C3" s="117"/>
      <c r="D3" s="117"/>
      <c r="E3" s="117"/>
      <c r="F3" s="117"/>
      <c r="G3" s="117"/>
      <c r="H3" s="117"/>
      <c r="I3" s="117"/>
      <c r="J3" s="117"/>
      <c r="K3" s="117"/>
      <c r="L3" s="117"/>
      <c r="M3" s="141" t="str">
        <f>Index!B2</f>
        <v>JAIGAD POWER TRANSCO LIMITED (JPTL)</v>
      </c>
      <c r="N3" s="117"/>
      <c r="O3" s="117"/>
      <c r="P3" s="117"/>
      <c r="Q3" s="117"/>
      <c r="R3" s="117"/>
      <c r="S3" s="142"/>
      <c r="T3" s="142"/>
      <c r="U3" s="142"/>
      <c r="V3" s="142"/>
      <c r="W3" s="142"/>
      <c r="X3" s="142"/>
      <c r="Y3" s="142"/>
      <c r="Z3" s="142"/>
      <c r="AA3" s="119"/>
      <c r="AB3" s="119"/>
      <c r="AC3" s="119"/>
    </row>
    <row r="4" spans="2:50" x14ac:dyDescent="0.25">
      <c r="C4" s="118"/>
      <c r="D4" s="118"/>
      <c r="E4" s="118"/>
      <c r="F4" s="118"/>
      <c r="G4" s="118"/>
      <c r="H4" s="118"/>
      <c r="I4" s="118"/>
      <c r="J4" s="118"/>
      <c r="K4" s="118"/>
      <c r="L4" s="118"/>
      <c r="M4" s="300" t="s">
        <v>321</v>
      </c>
      <c r="N4" s="118"/>
      <c r="O4" s="118"/>
      <c r="P4" s="118"/>
      <c r="Q4" s="118"/>
      <c r="R4" s="118"/>
      <c r="S4" s="108"/>
      <c r="T4" s="108"/>
      <c r="U4" s="108"/>
      <c r="V4" s="108"/>
      <c r="W4" s="108"/>
      <c r="X4" s="108"/>
      <c r="Y4" s="108"/>
      <c r="Z4" s="108"/>
      <c r="AA4" s="119"/>
      <c r="AB4" s="119"/>
      <c r="AC4" s="119"/>
    </row>
    <row r="5" spans="2:50" x14ac:dyDescent="0.25">
      <c r="C5" s="108"/>
      <c r="D5" s="108"/>
      <c r="E5" s="108"/>
      <c r="F5" s="108"/>
      <c r="G5" s="108"/>
      <c r="H5" s="108"/>
      <c r="I5" s="108"/>
      <c r="J5" s="108"/>
      <c r="K5" s="108"/>
      <c r="L5" s="108"/>
      <c r="M5" s="120" t="s">
        <v>322</v>
      </c>
      <c r="N5" s="109"/>
      <c r="O5" s="109"/>
      <c r="P5" s="109"/>
      <c r="Q5" s="109"/>
      <c r="R5" s="109"/>
      <c r="S5" s="109"/>
      <c r="T5" s="109"/>
      <c r="U5" s="109"/>
      <c r="V5" s="109"/>
      <c r="W5" s="109"/>
      <c r="X5" s="109"/>
      <c r="Y5" s="109"/>
      <c r="Z5" s="109"/>
      <c r="AA5" s="109"/>
      <c r="AB5" s="109"/>
      <c r="AC5" s="109"/>
      <c r="AD5" s="109"/>
      <c r="AE5" s="109"/>
      <c r="AF5" s="109"/>
      <c r="AG5" s="109"/>
      <c r="AH5" s="109"/>
      <c r="AI5" s="109"/>
      <c r="AJ5" s="109"/>
      <c r="AK5" s="109"/>
      <c r="AL5" s="109"/>
      <c r="AM5" s="109"/>
      <c r="AN5" s="109"/>
      <c r="AO5" s="109"/>
      <c r="AP5" s="109"/>
      <c r="AQ5" s="109"/>
      <c r="AR5" s="108"/>
      <c r="AS5" s="108"/>
      <c r="AT5" s="108"/>
      <c r="AU5" s="22"/>
      <c r="AV5" s="22"/>
      <c r="AW5" s="22"/>
      <c r="AX5" s="22"/>
    </row>
    <row r="6" spans="2:50" x14ac:dyDescent="0.25">
      <c r="C6" s="23"/>
      <c r="D6" s="23"/>
      <c r="E6" s="23"/>
      <c r="F6" s="23"/>
      <c r="G6" s="23"/>
      <c r="H6" s="23"/>
      <c r="I6" s="23"/>
      <c r="J6" s="23"/>
      <c r="K6" s="23"/>
      <c r="L6" s="23"/>
      <c r="M6" s="51"/>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row>
    <row r="7" spans="2:50" x14ac:dyDescent="0.25">
      <c r="C7" s="23"/>
      <c r="D7" s="23"/>
      <c r="E7" s="23"/>
      <c r="F7" s="23"/>
      <c r="G7" s="23"/>
      <c r="H7" s="23"/>
      <c r="I7" s="23"/>
      <c r="J7" s="23"/>
      <c r="K7" s="23"/>
      <c r="L7" s="23"/>
      <c r="M7" s="51"/>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row>
    <row r="8" spans="2:50" ht="15" customHeight="1" x14ac:dyDescent="0.25">
      <c r="C8" s="51" t="s">
        <v>282</v>
      </c>
      <c r="D8" s="51"/>
      <c r="E8" s="51"/>
      <c r="F8" s="51"/>
      <c r="G8" s="51"/>
      <c r="H8" s="51"/>
      <c r="I8" s="51"/>
      <c r="J8" s="51"/>
      <c r="K8" s="51"/>
      <c r="L8" s="51"/>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row>
    <row r="9" spans="2:50" x14ac:dyDescent="0.25">
      <c r="C9" s="23"/>
      <c r="D9" s="23"/>
      <c r="E9" s="23"/>
      <c r="F9" s="23"/>
      <c r="G9" s="23"/>
      <c r="H9" s="23"/>
      <c r="I9" s="23"/>
      <c r="J9" s="23"/>
      <c r="K9" s="23"/>
      <c r="L9" s="23"/>
      <c r="M9" s="23"/>
      <c r="N9" s="22"/>
      <c r="O9" s="22"/>
      <c r="P9" s="22"/>
      <c r="Q9" s="22"/>
      <c r="R9" s="22"/>
      <c r="S9" s="22"/>
      <c r="T9" s="22"/>
      <c r="U9" s="52" t="s">
        <v>73</v>
      </c>
      <c r="V9" s="52"/>
      <c r="AA9" s="22"/>
      <c r="AB9" s="22"/>
      <c r="AC9" s="22"/>
      <c r="AD9" s="22"/>
      <c r="AE9" s="22"/>
      <c r="AF9" s="52"/>
      <c r="AG9" s="52"/>
      <c r="AH9" s="52"/>
      <c r="AI9" s="22"/>
      <c r="AK9" s="22"/>
      <c r="AL9" s="22"/>
      <c r="AM9" s="22"/>
      <c r="AO9" s="296" t="s">
        <v>73</v>
      </c>
      <c r="AP9" s="296"/>
      <c r="AQ9" s="52"/>
      <c r="AR9" s="52"/>
      <c r="AS9" s="52"/>
      <c r="AT9" s="52"/>
      <c r="AU9" s="22"/>
      <c r="AV9" s="22"/>
      <c r="AW9" s="22"/>
    </row>
    <row r="10" spans="2:50" ht="15" customHeight="1" x14ac:dyDescent="0.25">
      <c r="B10" s="1047" t="s">
        <v>1</v>
      </c>
      <c r="C10" s="1047" t="s">
        <v>283</v>
      </c>
      <c r="D10" s="1047" t="s">
        <v>284</v>
      </c>
      <c r="E10" s="1047" t="s">
        <v>285</v>
      </c>
      <c r="F10" s="1047" t="s">
        <v>286</v>
      </c>
      <c r="G10" s="1047" t="s">
        <v>323</v>
      </c>
      <c r="H10" s="1047" t="s">
        <v>324</v>
      </c>
      <c r="I10" s="1047" t="s">
        <v>325</v>
      </c>
      <c r="J10" s="1047" t="s">
        <v>326</v>
      </c>
      <c r="K10" s="1047" t="s">
        <v>327</v>
      </c>
      <c r="L10" s="1047" t="s">
        <v>328</v>
      </c>
      <c r="M10" s="1047" t="s">
        <v>329</v>
      </c>
      <c r="N10" s="1047" t="s">
        <v>330</v>
      </c>
      <c r="O10" s="1077" t="s">
        <v>276</v>
      </c>
      <c r="P10" s="1078"/>
      <c r="Q10" s="1078"/>
      <c r="R10" s="1078"/>
      <c r="S10" s="1078"/>
      <c r="T10" s="1078"/>
      <c r="U10" s="1078"/>
      <c r="V10" s="1078"/>
      <c r="W10" s="1079"/>
      <c r="X10" s="1044" t="s">
        <v>331</v>
      </c>
      <c r="Y10" s="1045"/>
      <c r="Z10" s="1045"/>
      <c r="AA10" s="1045"/>
      <c r="AB10" s="1045"/>
      <c r="AC10" s="1045"/>
      <c r="AD10" s="1045"/>
      <c r="AE10" s="1045"/>
      <c r="AF10" s="1046"/>
      <c r="AG10" s="1044" t="s">
        <v>277</v>
      </c>
      <c r="AH10" s="1045"/>
      <c r="AI10" s="1045"/>
      <c r="AJ10" s="1045"/>
      <c r="AK10" s="1045"/>
      <c r="AL10" s="1045"/>
      <c r="AM10" s="1045"/>
      <c r="AN10" s="1045"/>
      <c r="AO10" s="1046"/>
      <c r="AP10" s="1080" t="s">
        <v>332</v>
      </c>
      <c r="AQ10" s="1080"/>
    </row>
    <row r="11" spans="2:50" ht="24.75" customHeight="1" x14ac:dyDescent="0.25">
      <c r="B11" s="1048"/>
      <c r="C11" s="1048"/>
      <c r="D11" s="1075"/>
      <c r="E11" s="1075"/>
      <c r="F11" s="1075"/>
      <c r="G11" s="1075"/>
      <c r="H11" s="1075"/>
      <c r="I11" s="1075"/>
      <c r="J11" s="1075"/>
      <c r="K11" s="1075"/>
      <c r="L11" s="1075"/>
      <c r="M11" s="1048"/>
      <c r="N11" s="1048"/>
      <c r="O11" s="1047" t="s">
        <v>333</v>
      </c>
      <c r="P11" s="425" t="s">
        <v>134</v>
      </c>
      <c r="Q11" s="424" t="s">
        <v>134</v>
      </c>
      <c r="R11" s="424" t="s">
        <v>135</v>
      </c>
      <c r="S11" s="424" t="s">
        <v>103</v>
      </c>
      <c r="T11" s="424" t="s">
        <v>103</v>
      </c>
      <c r="U11" s="424" t="s">
        <v>103</v>
      </c>
      <c r="V11" s="424" t="s">
        <v>103</v>
      </c>
      <c r="W11" s="424" t="s">
        <v>103</v>
      </c>
      <c r="X11" s="1047" t="s">
        <v>334</v>
      </c>
      <c r="Y11" s="425" t="s">
        <v>134</v>
      </c>
      <c r="Z11" s="424" t="s">
        <v>134</v>
      </c>
      <c r="AA11" s="424" t="s">
        <v>135</v>
      </c>
      <c r="AB11" s="424" t="s">
        <v>103</v>
      </c>
      <c r="AC11" s="424" t="s">
        <v>103</v>
      </c>
      <c r="AD11" s="424" t="s">
        <v>103</v>
      </c>
      <c r="AE11" s="424" t="s">
        <v>103</v>
      </c>
      <c r="AF11" s="424" t="s">
        <v>103</v>
      </c>
      <c r="AG11" s="1047" t="s">
        <v>335</v>
      </c>
      <c r="AH11" s="425" t="s">
        <v>134</v>
      </c>
      <c r="AI11" s="424" t="s">
        <v>134</v>
      </c>
      <c r="AJ11" s="424" t="s">
        <v>135</v>
      </c>
      <c r="AK11" s="424" t="s">
        <v>103</v>
      </c>
      <c r="AL11" s="424" t="s">
        <v>103</v>
      </c>
      <c r="AM11" s="424" t="s">
        <v>103</v>
      </c>
      <c r="AN11" s="424" t="s">
        <v>103</v>
      </c>
      <c r="AO11" s="424" t="s">
        <v>103</v>
      </c>
      <c r="AP11" s="1081" t="s">
        <v>336</v>
      </c>
      <c r="AQ11" s="1083" t="s">
        <v>337</v>
      </c>
    </row>
    <row r="12" spans="2:50" x14ac:dyDescent="0.25">
      <c r="B12" s="1049"/>
      <c r="C12" s="1049"/>
      <c r="D12" s="1076"/>
      <c r="E12" s="1076"/>
      <c r="F12" s="1076"/>
      <c r="G12" s="1076"/>
      <c r="H12" s="1076"/>
      <c r="I12" s="1076"/>
      <c r="J12" s="1076"/>
      <c r="K12" s="1076"/>
      <c r="L12" s="1076"/>
      <c r="M12" s="1049"/>
      <c r="N12" s="1049"/>
      <c r="O12" s="1049"/>
      <c r="P12" s="418" t="s">
        <v>75</v>
      </c>
      <c r="Q12" s="418" t="s">
        <v>76</v>
      </c>
      <c r="R12" s="418" t="s">
        <v>77</v>
      </c>
      <c r="S12" s="418" t="s">
        <v>87</v>
      </c>
      <c r="T12" s="418" t="s">
        <v>88</v>
      </c>
      <c r="U12" s="418" t="s">
        <v>89</v>
      </c>
      <c r="V12" s="418" t="s">
        <v>90</v>
      </c>
      <c r="W12" s="418" t="s">
        <v>91</v>
      </c>
      <c r="X12" s="1049"/>
      <c r="Y12" s="418" t="s">
        <v>75</v>
      </c>
      <c r="Z12" s="418" t="s">
        <v>76</v>
      </c>
      <c r="AA12" s="418" t="s">
        <v>338</v>
      </c>
      <c r="AB12" s="418" t="s">
        <v>87</v>
      </c>
      <c r="AC12" s="418" t="s">
        <v>88</v>
      </c>
      <c r="AD12" s="418" t="s">
        <v>89</v>
      </c>
      <c r="AE12" s="418" t="s">
        <v>90</v>
      </c>
      <c r="AF12" s="418" t="s">
        <v>91</v>
      </c>
      <c r="AG12" s="1049"/>
      <c r="AH12" s="418" t="s">
        <v>75</v>
      </c>
      <c r="AI12" s="418" t="s">
        <v>339</v>
      </c>
      <c r="AJ12" s="418" t="s">
        <v>338</v>
      </c>
      <c r="AK12" s="418" t="s">
        <v>87</v>
      </c>
      <c r="AL12" s="418" t="s">
        <v>88</v>
      </c>
      <c r="AM12" s="418" t="s">
        <v>89</v>
      </c>
      <c r="AN12" s="418" t="s">
        <v>90</v>
      </c>
      <c r="AO12" s="418" t="s">
        <v>91</v>
      </c>
      <c r="AP12" s="1082"/>
      <c r="AQ12" s="1084"/>
    </row>
    <row r="13" spans="2:50" ht="13.95" hidden="1" customHeight="1" x14ac:dyDescent="0.25">
      <c r="B13" s="53"/>
      <c r="C13" s="53" t="s">
        <v>75</v>
      </c>
      <c r="D13" s="537"/>
      <c r="E13" s="537"/>
      <c r="F13" s="537"/>
      <c r="G13" s="537"/>
      <c r="H13" s="537"/>
      <c r="I13" s="537"/>
      <c r="J13" s="537"/>
      <c r="K13" s="537"/>
      <c r="L13" s="537"/>
      <c r="M13" s="537"/>
      <c r="N13" s="537"/>
      <c r="O13" s="537"/>
      <c r="P13" s="537"/>
      <c r="Q13" s="537"/>
      <c r="R13" s="537"/>
      <c r="S13" s="537"/>
      <c r="T13" s="537"/>
      <c r="U13" s="537"/>
      <c r="V13" s="537"/>
      <c r="W13" s="537"/>
      <c r="X13" s="537"/>
      <c r="Y13" s="537"/>
      <c r="Z13" s="537"/>
      <c r="AA13" s="537"/>
      <c r="AB13" s="537"/>
      <c r="AC13" s="537"/>
      <c r="AD13" s="537"/>
      <c r="AE13" s="537"/>
      <c r="AF13" s="537"/>
      <c r="AG13" s="537"/>
      <c r="AH13" s="537"/>
      <c r="AI13" s="537"/>
      <c r="AJ13" s="537"/>
      <c r="AK13" s="537"/>
      <c r="AL13" s="537"/>
      <c r="AM13" s="537"/>
      <c r="AN13" s="537"/>
      <c r="AO13" s="537"/>
      <c r="AP13" s="537"/>
      <c r="AQ13" s="537"/>
    </row>
    <row r="14" spans="2:50" ht="13.8" hidden="1" customHeight="1" x14ac:dyDescent="0.25">
      <c r="B14" s="53"/>
      <c r="C14" s="103" t="s">
        <v>302</v>
      </c>
      <c r="D14" s="537"/>
      <c r="E14" s="537"/>
      <c r="F14" s="537"/>
      <c r="G14" s="537"/>
      <c r="H14" s="537"/>
      <c r="I14" s="537"/>
      <c r="J14" s="537"/>
      <c r="K14" s="537"/>
      <c r="L14" s="537"/>
      <c r="M14" s="537"/>
      <c r="N14" s="537"/>
      <c r="O14" s="537"/>
      <c r="P14" s="537"/>
      <c r="Q14" s="537"/>
      <c r="R14" s="537"/>
      <c r="S14" s="537"/>
      <c r="T14" s="537"/>
      <c r="U14" s="537"/>
      <c r="V14" s="537"/>
      <c r="W14" s="537"/>
      <c r="X14" s="537"/>
      <c r="Y14" s="537"/>
      <c r="Z14" s="537"/>
      <c r="AA14" s="537"/>
      <c r="AB14" s="537"/>
      <c r="AC14" s="537"/>
      <c r="AD14" s="537"/>
      <c r="AE14" s="537"/>
      <c r="AF14" s="537"/>
      <c r="AG14" s="537"/>
      <c r="AH14" s="537"/>
      <c r="AI14" s="537"/>
      <c r="AJ14" s="537"/>
      <c r="AK14" s="537"/>
      <c r="AL14" s="537"/>
      <c r="AM14" s="537"/>
      <c r="AN14" s="537"/>
      <c r="AO14" s="537"/>
      <c r="AP14" s="537"/>
      <c r="AQ14" s="537"/>
    </row>
    <row r="15" spans="2:50" ht="13.8" hidden="1" customHeight="1" x14ac:dyDescent="0.25">
      <c r="B15" s="53"/>
      <c r="C15" s="104" t="s">
        <v>303</v>
      </c>
      <c r="D15" s="537"/>
      <c r="E15" s="537"/>
      <c r="F15" s="537"/>
      <c r="G15" s="537"/>
      <c r="H15" s="537"/>
      <c r="I15" s="537"/>
      <c r="J15" s="537"/>
      <c r="K15" s="537"/>
      <c r="L15" s="537"/>
      <c r="M15" s="537"/>
      <c r="N15" s="537"/>
      <c r="O15" s="537"/>
      <c r="P15" s="537"/>
      <c r="Q15" s="537"/>
      <c r="R15" s="537"/>
      <c r="S15" s="537"/>
      <c r="T15" s="537"/>
      <c r="U15" s="537"/>
      <c r="V15" s="537"/>
      <c r="W15" s="537"/>
      <c r="X15" s="537"/>
      <c r="Y15" s="537"/>
      <c r="Z15" s="537"/>
      <c r="AA15" s="537"/>
      <c r="AB15" s="537"/>
      <c r="AC15" s="537"/>
      <c r="AD15" s="537"/>
      <c r="AE15" s="537"/>
      <c r="AF15" s="537"/>
      <c r="AG15" s="537"/>
      <c r="AH15" s="537"/>
      <c r="AI15" s="537"/>
      <c r="AJ15" s="537"/>
      <c r="AK15" s="537"/>
      <c r="AL15" s="537"/>
      <c r="AM15" s="537"/>
      <c r="AN15" s="537"/>
      <c r="AO15" s="537"/>
      <c r="AP15" s="537"/>
      <c r="AQ15" s="537"/>
    </row>
    <row r="16" spans="2:50" ht="13.8" hidden="1" customHeight="1" x14ac:dyDescent="0.25">
      <c r="B16" s="53"/>
      <c r="C16" s="31" t="s">
        <v>304</v>
      </c>
      <c r="D16" s="537"/>
      <c r="E16" s="537"/>
      <c r="F16" s="537"/>
      <c r="G16" s="537"/>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537"/>
      <c r="AF16" s="537"/>
      <c r="AG16" s="537"/>
      <c r="AH16" s="537"/>
      <c r="AI16" s="537"/>
      <c r="AJ16" s="537"/>
      <c r="AK16" s="537"/>
      <c r="AL16" s="537"/>
      <c r="AM16" s="537"/>
      <c r="AN16" s="537"/>
      <c r="AO16" s="537"/>
      <c r="AP16" s="537"/>
      <c r="AQ16" s="537"/>
    </row>
    <row r="17" spans="2:43" ht="13.8" hidden="1" customHeight="1" x14ac:dyDescent="0.25">
      <c r="B17" s="53"/>
      <c r="C17" s="31" t="s">
        <v>304</v>
      </c>
      <c r="D17" s="537"/>
      <c r="E17" s="537"/>
      <c r="F17" s="537"/>
      <c r="G17" s="537"/>
      <c r="H17" s="537"/>
      <c r="I17" s="537"/>
      <c r="J17" s="537"/>
      <c r="K17" s="537"/>
      <c r="L17" s="537"/>
      <c r="M17" s="537"/>
      <c r="N17" s="537"/>
      <c r="O17" s="537"/>
      <c r="P17" s="537"/>
      <c r="Q17" s="537"/>
      <c r="R17" s="537"/>
      <c r="S17" s="537"/>
      <c r="T17" s="537"/>
      <c r="U17" s="537"/>
      <c r="V17" s="537"/>
      <c r="W17" s="537"/>
      <c r="X17" s="537"/>
      <c r="Y17" s="537"/>
      <c r="Z17" s="537"/>
      <c r="AA17" s="537"/>
      <c r="AB17" s="537"/>
      <c r="AC17" s="537"/>
      <c r="AD17" s="537"/>
      <c r="AE17" s="537"/>
      <c r="AF17" s="537"/>
      <c r="AG17" s="537"/>
      <c r="AH17" s="537"/>
      <c r="AI17" s="537"/>
      <c r="AJ17" s="537"/>
      <c r="AK17" s="537"/>
      <c r="AL17" s="537"/>
      <c r="AM17" s="537"/>
      <c r="AN17" s="537"/>
      <c r="AO17" s="537"/>
      <c r="AP17" s="537"/>
      <c r="AQ17" s="537"/>
    </row>
    <row r="18" spans="2:43" ht="13.8" hidden="1" customHeight="1" x14ac:dyDescent="0.25">
      <c r="B18" s="53"/>
      <c r="C18" s="104" t="s">
        <v>305</v>
      </c>
      <c r="D18" s="537"/>
      <c r="E18" s="537"/>
      <c r="F18" s="537"/>
      <c r="G18" s="537"/>
      <c r="H18" s="537"/>
      <c r="I18" s="537"/>
      <c r="J18" s="537"/>
      <c r="K18" s="537"/>
      <c r="L18" s="537"/>
      <c r="M18" s="537"/>
      <c r="N18" s="537"/>
      <c r="O18" s="537"/>
      <c r="P18" s="537"/>
      <c r="Q18" s="537"/>
      <c r="R18" s="537"/>
      <c r="S18" s="537"/>
      <c r="T18" s="537"/>
      <c r="U18" s="537"/>
      <c r="V18" s="537"/>
      <c r="W18" s="537"/>
      <c r="X18" s="537"/>
      <c r="Y18" s="537"/>
      <c r="Z18" s="537"/>
      <c r="AA18" s="537"/>
      <c r="AB18" s="537"/>
      <c r="AC18" s="537"/>
      <c r="AD18" s="537"/>
      <c r="AE18" s="537"/>
      <c r="AF18" s="537"/>
      <c r="AG18" s="537"/>
      <c r="AH18" s="537"/>
      <c r="AI18" s="537"/>
      <c r="AJ18" s="537"/>
      <c r="AK18" s="537"/>
      <c r="AL18" s="537"/>
      <c r="AM18" s="537"/>
      <c r="AN18" s="537"/>
      <c r="AO18" s="537"/>
      <c r="AP18" s="537"/>
      <c r="AQ18" s="537"/>
    </row>
    <row r="19" spans="2:43" ht="13.8" hidden="1" customHeight="1" x14ac:dyDescent="0.25">
      <c r="B19" s="53"/>
      <c r="C19" s="31" t="s">
        <v>304</v>
      </c>
      <c r="D19" s="537"/>
      <c r="E19" s="537"/>
      <c r="F19" s="537"/>
      <c r="G19" s="537"/>
      <c r="H19" s="537"/>
      <c r="I19" s="537"/>
      <c r="J19" s="537"/>
      <c r="K19" s="537"/>
      <c r="L19" s="537"/>
      <c r="M19" s="537"/>
      <c r="N19" s="537"/>
      <c r="O19" s="537"/>
      <c r="P19" s="537"/>
      <c r="Q19" s="537"/>
      <c r="R19" s="537"/>
      <c r="S19" s="537"/>
      <c r="T19" s="537"/>
      <c r="U19" s="537"/>
      <c r="V19" s="537"/>
      <c r="W19" s="537"/>
      <c r="X19" s="537"/>
      <c r="Y19" s="537"/>
      <c r="Z19" s="537"/>
      <c r="AA19" s="537"/>
      <c r="AB19" s="537"/>
      <c r="AC19" s="537"/>
      <c r="AD19" s="537"/>
      <c r="AE19" s="537"/>
      <c r="AF19" s="537"/>
      <c r="AG19" s="537"/>
      <c r="AH19" s="537"/>
      <c r="AI19" s="537"/>
      <c r="AJ19" s="537"/>
      <c r="AK19" s="537"/>
      <c r="AL19" s="537"/>
      <c r="AM19" s="537"/>
      <c r="AN19" s="537"/>
      <c r="AO19" s="537"/>
      <c r="AP19" s="537"/>
      <c r="AQ19" s="537"/>
    </row>
    <row r="20" spans="2:43" ht="13.8" hidden="1" customHeight="1" x14ac:dyDescent="0.25">
      <c r="B20" s="53"/>
      <c r="C20" s="31" t="s">
        <v>304</v>
      </c>
      <c r="D20" s="537"/>
      <c r="E20" s="537"/>
      <c r="F20" s="537"/>
      <c r="G20" s="537"/>
      <c r="H20" s="537"/>
      <c r="I20" s="537"/>
      <c r="J20" s="537"/>
      <c r="K20" s="537"/>
      <c r="L20" s="537"/>
      <c r="M20" s="537"/>
      <c r="N20" s="537"/>
      <c r="O20" s="537"/>
      <c r="P20" s="537"/>
      <c r="Q20" s="537"/>
      <c r="R20" s="537"/>
      <c r="S20" s="537"/>
      <c r="T20" s="537"/>
      <c r="U20" s="537"/>
      <c r="V20" s="537"/>
      <c r="W20" s="537"/>
      <c r="X20" s="537"/>
      <c r="Y20" s="537"/>
      <c r="Z20" s="537"/>
      <c r="AA20" s="537"/>
      <c r="AB20" s="537"/>
      <c r="AC20" s="537"/>
      <c r="AD20" s="537"/>
      <c r="AE20" s="537"/>
      <c r="AF20" s="537"/>
      <c r="AG20" s="537"/>
      <c r="AH20" s="537"/>
      <c r="AI20" s="537"/>
      <c r="AJ20" s="537"/>
      <c r="AK20" s="537"/>
      <c r="AL20" s="537"/>
      <c r="AM20" s="537"/>
      <c r="AN20" s="537"/>
      <c r="AO20" s="537"/>
      <c r="AP20" s="537"/>
      <c r="AQ20" s="537"/>
    </row>
    <row r="21" spans="2:43" ht="13.8" hidden="1" customHeight="1" x14ac:dyDescent="0.25">
      <c r="B21" s="53"/>
      <c r="C21" s="53" t="s">
        <v>306</v>
      </c>
      <c r="D21" s="537"/>
      <c r="E21" s="537"/>
      <c r="F21" s="537"/>
      <c r="G21" s="537"/>
      <c r="H21" s="537"/>
      <c r="I21" s="537"/>
      <c r="J21" s="537"/>
      <c r="K21" s="537"/>
      <c r="L21" s="537"/>
      <c r="M21" s="537"/>
      <c r="N21" s="537"/>
      <c r="O21" s="537"/>
      <c r="P21" s="537"/>
      <c r="Q21" s="537"/>
      <c r="R21" s="537"/>
      <c r="S21" s="537"/>
      <c r="T21" s="537"/>
      <c r="U21" s="537"/>
      <c r="V21" s="537"/>
      <c r="W21" s="537"/>
      <c r="X21" s="537"/>
      <c r="Y21" s="537"/>
      <c r="Z21" s="537"/>
      <c r="AA21" s="537"/>
      <c r="AB21" s="537"/>
      <c r="AC21" s="537"/>
      <c r="AD21" s="537"/>
      <c r="AE21" s="537"/>
      <c r="AF21" s="537"/>
      <c r="AG21" s="537"/>
      <c r="AH21" s="537"/>
      <c r="AI21" s="537"/>
      <c r="AJ21" s="537"/>
      <c r="AK21" s="537"/>
      <c r="AL21" s="537"/>
      <c r="AM21" s="537"/>
      <c r="AN21" s="537"/>
      <c r="AO21" s="537"/>
      <c r="AP21" s="537"/>
      <c r="AQ21" s="537"/>
    </row>
    <row r="22" spans="2:43" ht="13.8" hidden="1" customHeight="1" x14ac:dyDescent="0.25">
      <c r="B22" s="53"/>
      <c r="C22" s="31" t="s">
        <v>304</v>
      </c>
      <c r="D22" s="537"/>
      <c r="E22" s="537"/>
      <c r="F22" s="537"/>
      <c r="G22" s="537"/>
      <c r="H22" s="537"/>
      <c r="I22" s="537"/>
      <c r="J22" s="537"/>
      <c r="K22" s="537"/>
      <c r="L22" s="537"/>
      <c r="M22" s="537"/>
      <c r="N22" s="537"/>
      <c r="O22" s="537"/>
      <c r="P22" s="537"/>
      <c r="Q22" s="537"/>
      <c r="R22" s="537"/>
      <c r="S22" s="537"/>
      <c r="T22" s="537"/>
      <c r="U22" s="537"/>
      <c r="V22" s="537"/>
      <c r="W22" s="537"/>
      <c r="X22" s="537"/>
      <c r="Y22" s="537"/>
      <c r="Z22" s="537"/>
      <c r="AA22" s="537"/>
      <c r="AB22" s="537"/>
      <c r="AC22" s="537"/>
      <c r="AD22" s="537"/>
      <c r="AE22" s="537"/>
      <c r="AF22" s="537"/>
      <c r="AG22" s="537"/>
      <c r="AH22" s="537"/>
      <c r="AI22" s="537"/>
      <c r="AJ22" s="537"/>
      <c r="AK22" s="537"/>
      <c r="AL22" s="537"/>
      <c r="AM22" s="537"/>
      <c r="AN22" s="537"/>
      <c r="AO22" s="537"/>
      <c r="AP22" s="537"/>
      <c r="AQ22" s="537"/>
    </row>
    <row r="23" spans="2:43" ht="13.8" hidden="1" customHeight="1" x14ac:dyDescent="0.25">
      <c r="B23" s="53"/>
      <c r="C23" s="31" t="s">
        <v>304</v>
      </c>
      <c r="D23" s="537"/>
      <c r="E23" s="537"/>
      <c r="F23" s="537"/>
      <c r="G23" s="537"/>
      <c r="H23" s="537"/>
      <c r="I23" s="537"/>
      <c r="J23" s="537"/>
      <c r="K23" s="537"/>
      <c r="L23" s="537"/>
      <c r="M23" s="537"/>
      <c r="N23" s="537"/>
      <c r="O23" s="537"/>
      <c r="P23" s="537"/>
      <c r="Q23" s="537"/>
      <c r="R23" s="537"/>
      <c r="S23" s="537"/>
      <c r="T23" s="537"/>
      <c r="U23" s="537"/>
      <c r="V23" s="537"/>
      <c r="W23" s="537"/>
      <c r="X23" s="537"/>
      <c r="Y23" s="537"/>
      <c r="Z23" s="537"/>
      <c r="AA23" s="537"/>
      <c r="AB23" s="537"/>
      <c r="AC23" s="537"/>
      <c r="AD23" s="537"/>
      <c r="AE23" s="537"/>
      <c r="AF23" s="537"/>
      <c r="AG23" s="537"/>
      <c r="AH23" s="537"/>
      <c r="AI23" s="537"/>
      <c r="AJ23" s="537"/>
      <c r="AK23" s="537"/>
      <c r="AL23" s="537"/>
      <c r="AM23" s="537"/>
      <c r="AN23" s="537"/>
      <c r="AO23" s="537"/>
      <c r="AP23" s="537"/>
      <c r="AQ23" s="537"/>
    </row>
    <row r="24" spans="2:43" ht="13.8" hidden="1" customHeight="1" x14ac:dyDescent="0.25">
      <c r="B24" s="53"/>
      <c r="C24" s="31"/>
      <c r="D24" s="537"/>
      <c r="E24" s="537"/>
      <c r="F24" s="537"/>
      <c r="G24" s="537"/>
      <c r="H24" s="537"/>
      <c r="I24" s="537"/>
      <c r="J24" s="537"/>
      <c r="K24" s="537"/>
      <c r="L24" s="537"/>
      <c r="M24" s="537"/>
      <c r="N24" s="537"/>
      <c r="O24" s="537"/>
      <c r="P24" s="537"/>
      <c r="Q24" s="537"/>
      <c r="R24" s="537"/>
      <c r="S24" s="537"/>
      <c r="T24" s="537"/>
      <c r="U24" s="537"/>
      <c r="V24" s="537"/>
      <c r="W24" s="537"/>
      <c r="X24" s="537"/>
      <c r="Y24" s="537"/>
      <c r="Z24" s="537"/>
      <c r="AA24" s="537"/>
      <c r="AB24" s="537"/>
      <c r="AC24" s="537"/>
      <c r="AD24" s="537"/>
      <c r="AE24" s="537"/>
      <c r="AF24" s="537"/>
      <c r="AG24" s="537"/>
      <c r="AH24" s="537"/>
      <c r="AI24" s="537"/>
      <c r="AJ24" s="537"/>
      <c r="AK24" s="537"/>
      <c r="AL24" s="537"/>
      <c r="AM24" s="537"/>
      <c r="AN24" s="537"/>
      <c r="AO24" s="537"/>
      <c r="AP24" s="537"/>
      <c r="AQ24" s="537"/>
    </row>
    <row r="25" spans="2:43" ht="13.8" hidden="1" customHeight="1" x14ac:dyDescent="0.25">
      <c r="B25" s="53"/>
      <c r="C25" s="53" t="s">
        <v>76</v>
      </c>
      <c r="D25" s="537"/>
      <c r="E25" s="537"/>
      <c r="F25" s="537"/>
      <c r="G25" s="537"/>
      <c r="H25" s="537"/>
      <c r="I25" s="537"/>
      <c r="J25" s="537"/>
      <c r="K25" s="537"/>
      <c r="L25" s="537"/>
      <c r="M25" s="537"/>
      <c r="N25" s="537"/>
      <c r="O25" s="537"/>
      <c r="P25" s="537"/>
      <c r="Q25" s="537"/>
      <c r="R25" s="537"/>
      <c r="S25" s="537"/>
      <c r="T25" s="537"/>
      <c r="U25" s="537"/>
      <c r="V25" s="537"/>
      <c r="W25" s="537"/>
      <c r="X25" s="537"/>
      <c r="Y25" s="537"/>
      <c r="Z25" s="537"/>
      <c r="AA25" s="537"/>
      <c r="AB25" s="537"/>
      <c r="AC25" s="537"/>
      <c r="AD25" s="537"/>
      <c r="AE25" s="537"/>
      <c r="AF25" s="537"/>
      <c r="AG25" s="537"/>
      <c r="AH25" s="537"/>
      <c r="AI25" s="537"/>
      <c r="AJ25" s="537"/>
      <c r="AK25" s="537"/>
      <c r="AL25" s="537"/>
      <c r="AM25" s="537"/>
      <c r="AN25" s="537"/>
      <c r="AO25" s="537"/>
      <c r="AP25" s="537"/>
      <c r="AQ25" s="537"/>
    </row>
    <row r="26" spans="2:43" ht="13.8" hidden="1" customHeight="1" x14ac:dyDescent="0.25">
      <c r="B26" s="53"/>
      <c r="C26" s="103" t="s">
        <v>302</v>
      </c>
      <c r="D26" s="537"/>
      <c r="E26" s="537"/>
      <c r="F26" s="537"/>
      <c r="G26" s="537"/>
      <c r="H26" s="537"/>
      <c r="I26" s="537"/>
      <c r="J26" s="537"/>
      <c r="K26" s="537"/>
      <c r="L26" s="537"/>
      <c r="M26" s="537"/>
      <c r="N26" s="537"/>
      <c r="O26" s="537"/>
      <c r="P26" s="537"/>
      <c r="Q26" s="537"/>
      <c r="R26" s="537"/>
      <c r="S26" s="537"/>
      <c r="T26" s="537"/>
      <c r="U26" s="537"/>
      <c r="V26" s="537"/>
      <c r="W26" s="537"/>
      <c r="X26" s="537"/>
      <c r="Y26" s="537"/>
      <c r="Z26" s="537"/>
      <c r="AA26" s="537"/>
      <c r="AB26" s="537"/>
      <c r="AC26" s="537"/>
      <c r="AD26" s="537"/>
      <c r="AE26" s="537"/>
      <c r="AF26" s="537"/>
      <c r="AG26" s="537"/>
      <c r="AH26" s="537"/>
      <c r="AI26" s="537"/>
      <c r="AJ26" s="537"/>
      <c r="AK26" s="537"/>
      <c r="AL26" s="537"/>
      <c r="AM26" s="537"/>
      <c r="AN26" s="537"/>
      <c r="AO26" s="537"/>
      <c r="AP26" s="537"/>
      <c r="AQ26" s="537"/>
    </row>
    <row r="27" spans="2:43" ht="13.8" hidden="1" customHeight="1" x14ac:dyDescent="0.25">
      <c r="B27" s="53"/>
      <c r="C27" s="104" t="s">
        <v>303</v>
      </c>
      <c r="D27" s="537"/>
      <c r="E27" s="537"/>
      <c r="F27" s="537"/>
      <c r="G27" s="537"/>
      <c r="H27" s="537"/>
      <c r="I27" s="537"/>
      <c r="J27" s="537"/>
      <c r="K27" s="537"/>
      <c r="L27" s="537"/>
      <c r="M27" s="537"/>
      <c r="N27" s="537"/>
      <c r="O27" s="537"/>
      <c r="P27" s="537"/>
      <c r="Q27" s="537"/>
      <c r="R27" s="537"/>
      <c r="S27" s="537"/>
      <c r="T27" s="537"/>
      <c r="U27" s="537"/>
      <c r="V27" s="537"/>
      <c r="W27" s="537"/>
      <c r="X27" s="537"/>
      <c r="Y27" s="537"/>
      <c r="Z27" s="537"/>
      <c r="AA27" s="537"/>
      <c r="AB27" s="537"/>
      <c r="AC27" s="537"/>
      <c r="AD27" s="537"/>
      <c r="AE27" s="537"/>
      <c r="AF27" s="537"/>
      <c r="AG27" s="537"/>
      <c r="AH27" s="537"/>
      <c r="AI27" s="537"/>
      <c r="AJ27" s="537"/>
      <c r="AK27" s="537"/>
      <c r="AL27" s="537"/>
      <c r="AM27" s="537"/>
      <c r="AN27" s="537"/>
      <c r="AO27" s="537"/>
      <c r="AP27" s="537"/>
      <c r="AQ27" s="537"/>
    </row>
    <row r="28" spans="2:43" ht="13.8" hidden="1" customHeight="1" x14ac:dyDescent="0.25">
      <c r="B28" s="53"/>
      <c r="C28" s="31" t="s">
        <v>304</v>
      </c>
      <c r="D28" s="537"/>
      <c r="E28" s="537"/>
      <c r="F28" s="537"/>
      <c r="G28" s="537"/>
      <c r="H28" s="537"/>
      <c r="I28" s="537"/>
      <c r="J28" s="537"/>
      <c r="K28" s="537"/>
      <c r="L28" s="537"/>
      <c r="M28" s="537"/>
      <c r="N28" s="537"/>
      <c r="O28" s="537"/>
      <c r="P28" s="537"/>
      <c r="Q28" s="537"/>
      <c r="R28" s="537"/>
      <c r="S28" s="537"/>
      <c r="T28" s="537"/>
      <c r="U28" s="537"/>
      <c r="V28" s="537"/>
      <c r="W28" s="537"/>
      <c r="X28" s="537"/>
      <c r="Y28" s="537"/>
      <c r="Z28" s="537"/>
      <c r="AA28" s="537"/>
      <c r="AB28" s="537"/>
      <c r="AC28" s="537"/>
      <c r="AD28" s="537"/>
      <c r="AE28" s="537"/>
      <c r="AF28" s="537"/>
      <c r="AG28" s="537"/>
      <c r="AH28" s="537"/>
      <c r="AI28" s="537"/>
      <c r="AJ28" s="537"/>
      <c r="AK28" s="537"/>
      <c r="AL28" s="537"/>
      <c r="AM28" s="537"/>
      <c r="AN28" s="537"/>
      <c r="AO28" s="537"/>
      <c r="AP28" s="537"/>
      <c r="AQ28" s="537"/>
    </row>
    <row r="29" spans="2:43" ht="13.8" hidden="1" customHeight="1" x14ac:dyDescent="0.25">
      <c r="B29" s="53"/>
      <c r="C29" s="31" t="s">
        <v>304</v>
      </c>
      <c r="D29" s="537"/>
      <c r="E29" s="537"/>
      <c r="F29" s="537"/>
      <c r="G29" s="537"/>
      <c r="H29" s="537"/>
      <c r="I29" s="537"/>
      <c r="J29" s="537"/>
      <c r="K29" s="537"/>
      <c r="L29" s="537"/>
      <c r="M29" s="537"/>
      <c r="N29" s="537"/>
      <c r="O29" s="537"/>
      <c r="P29" s="537"/>
      <c r="Q29" s="537"/>
      <c r="R29" s="537"/>
      <c r="S29" s="537"/>
      <c r="T29" s="537"/>
      <c r="U29" s="537"/>
      <c r="V29" s="537"/>
      <c r="W29" s="537"/>
      <c r="X29" s="537"/>
      <c r="Y29" s="537"/>
      <c r="Z29" s="537"/>
      <c r="AA29" s="537"/>
      <c r="AB29" s="537"/>
      <c r="AC29" s="537"/>
      <c r="AD29" s="537"/>
      <c r="AE29" s="537"/>
      <c r="AF29" s="537"/>
      <c r="AG29" s="537"/>
      <c r="AH29" s="537"/>
      <c r="AI29" s="537"/>
      <c r="AJ29" s="537"/>
      <c r="AK29" s="537"/>
      <c r="AL29" s="537"/>
      <c r="AM29" s="537"/>
      <c r="AN29" s="537"/>
      <c r="AO29" s="537"/>
      <c r="AP29" s="537"/>
      <c r="AQ29" s="537"/>
    </row>
    <row r="30" spans="2:43" ht="13.8" hidden="1" customHeight="1" x14ac:dyDescent="0.25">
      <c r="B30" s="53"/>
      <c r="C30" s="104" t="s">
        <v>305</v>
      </c>
      <c r="D30" s="537"/>
      <c r="E30" s="537"/>
      <c r="F30" s="537"/>
      <c r="G30" s="537"/>
      <c r="H30" s="537"/>
      <c r="I30" s="537"/>
      <c r="J30" s="537"/>
      <c r="K30" s="537"/>
      <c r="L30" s="537"/>
      <c r="M30" s="537"/>
      <c r="N30" s="537"/>
      <c r="O30" s="537"/>
      <c r="P30" s="537"/>
      <c r="Q30" s="537"/>
      <c r="R30" s="537"/>
      <c r="S30" s="537"/>
      <c r="T30" s="537"/>
      <c r="U30" s="537"/>
      <c r="V30" s="537"/>
      <c r="W30" s="537"/>
      <c r="X30" s="537"/>
      <c r="Y30" s="537"/>
      <c r="Z30" s="537"/>
      <c r="AA30" s="537"/>
      <c r="AB30" s="537"/>
      <c r="AC30" s="537"/>
      <c r="AD30" s="537"/>
      <c r="AE30" s="537"/>
      <c r="AF30" s="537"/>
      <c r="AG30" s="537"/>
      <c r="AH30" s="537"/>
      <c r="AI30" s="537"/>
      <c r="AJ30" s="537"/>
      <c r="AK30" s="537"/>
      <c r="AL30" s="537"/>
      <c r="AM30" s="537"/>
      <c r="AN30" s="537"/>
      <c r="AO30" s="537"/>
      <c r="AP30" s="537"/>
      <c r="AQ30" s="537"/>
    </row>
    <row r="31" spans="2:43" ht="13.8" hidden="1" customHeight="1" x14ac:dyDescent="0.25">
      <c r="B31" s="53"/>
      <c r="C31" s="31" t="s">
        <v>304</v>
      </c>
      <c r="D31" s="537"/>
      <c r="E31" s="537"/>
      <c r="F31" s="537"/>
      <c r="G31" s="537"/>
      <c r="H31" s="537"/>
      <c r="I31" s="537"/>
      <c r="J31" s="537"/>
      <c r="K31" s="537"/>
      <c r="L31" s="537"/>
      <c r="M31" s="537"/>
      <c r="N31" s="537"/>
      <c r="O31" s="537"/>
      <c r="P31" s="537"/>
      <c r="Q31" s="537"/>
      <c r="R31" s="537"/>
      <c r="S31" s="537"/>
      <c r="T31" s="537"/>
      <c r="U31" s="537"/>
      <c r="V31" s="537"/>
      <c r="W31" s="537"/>
      <c r="X31" s="537"/>
      <c r="Y31" s="537"/>
      <c r="Z31" s="537"/>
      <c r="AA31" s="537"/>
      <c r="AB31" s="537"/>
      <c r="AC31" s="537"/>
      <c r="AD31" s="537"/>
      <c r="AE31" s="537"/>
      <c r="AF31" s="537"/>
      <c r="AG31" s="537"/>
      <c r="AH31" s="537"/>
      <c r="AI31" s="537"/>
      <c r="AJ31" s="537"/>
      <c r="AK31" s="537"/>
      <c r="AL31" s="537"/>
      <c r="AM31" s="537"/>
      <c r="AN31" s="537"/>
      <c r="AO31" s="537"/>
      <c r="AP31" s="537"/>
      <c r="AQ31" s="537"/>
    </row>
    <row r="32" spans="2:43" ht="13.8" hidden="1" customHeight="1" x14ac:dyDescent="0.25">
      <c r="B32" s="53"/>
      <c r="C32" s="31" t="s">
        <v>304</v>
      </c>
      <c r="D32" s="537"/>
      <c r="E32" s="537"/>
      <c r="F32" s="537"/>
      <c r="G32" s="537"/>
      <c r="H32" s="537"/>
      <c r="I32" s="537"/>
      <c r="J32" s="537"/>
      <c r="K32" s="537"/>
      <c r="L32" s="537"/>
      <c r="M32" s="537"/>
      <c r="N32" s="537"/>
      <c r="O32" s="537"/>
      <c r="P32" s="537"/>
      <c r="Q32" s="537"/>
      <c r="R32" s="537"/>
      <c r="S32" s="537"/>
      <c r="T32" s="537"/>
      <c r="U32" s="537"/>
      <c r="V32" s="537"/>
      <c r="W32" s="537"/>
      <c r="X32" s="537"/>
      <c r="Y32" s="537"/>
      <c r="Z32" s="537"/>
      <c r="AA32" s="537"/>
      <c r="AB32" s="537"/>
      <c r="AC32" s="537"/>
      <c r="AD32" s="537"/>
      <c r="AE32" s="537"/>
      <c r="AF32" s="537"/>
      <c r="AG32" s="537"/>
      <c r="AH32" s="537"/>
      <c r="AI32" s="537"/>
      <c r="AJ32" s="537"/>
      <c r="AK32" s="537"/>
      <c r="AL32" s="537"/>
      <c r="AM32" s="537"/>
      <c r="AN32" s="537"/>
      <c r="AO32" s="537"/>
      <c r="AP32" s="537"/>
      <c r="AQ32" s="537"/>
    </row>
    <row r="33" spans="2:43" ht="13.8" hidden="1" customHeight="1" x14ac:dyDescent="0.25">
      <c r="B33" s="53"/>
      <c r="C33" s="53" t="s">
        <v>306</v>
      </c>
      <c r="D33" s="537"/>
      <c r="E33" s="537"/>
      <c r="F33" s="537"/>
      <c r="G33" s="537"/>
      <c r="H33" s="537"/>
      <c r="I33" s="537"/>
      <c r="J33" s="537"/>
      <c r="K33" s="537"/>
      <c r="L33" s="537"/>
      <c r="M33" s="537"/>
      <c r="N33" s="537"/>
      <c r="O33" s="537"/>
      <c r="P33" s="537"/>
      <c r="Q33" s="537"/>
      <c r="R33" s="537"/>
      <c r="S33" s="537"/>
      <c r="T33" s="537"/>
      <c r="U33" s="537"/>
      <c r="V33" s="537"/>
      <c r="W33" s="537"/>
      <c r="X33" s="537"/>
      <c r="Y33" s="537"/>
      <c r="Z33" s="537"/>
      <c r="AA33" s="537"/>
      <c r="AB33" s="537"/>
      <c r="AC33" s="537"/>
      <c r="AD33" s="537"/>
      <c r="AE33" s="537"/>
      <c r="AF33" s="537"/>
      <c r="AG33" s="537"/>
      <c r="AH33" s="537"/>
      <c r="AI33" s="537"/>
      <c r="AJ33" s="537"/>
      <c r="AK33" s="537"/>
      <c r="AL33" s="537"/>
      <c r="AM33" s="537"/>
      <c r="AN33" s="537"/>
      <c r="AO33" s="537"/>
      <c r="AP33" s="537"/>
      <c r="AQ33" s="537"/>
    </row>
    <row r="34" spans="2:43" ht="13.8" hidden="1" customHeight="1" x14ac:dyDescent="0.25">
      <c r="B34" s="53"/>
      <c r="C34" s="31" t="s">
        <v>304</v>
      </c>
      <c r="D34" s="537"/>
      <c r="E34" s="537"/>
      <c r="F34" s="537"/>
      <c r="G34" s="537"/>
      <c r="H34" s="537"/>
      <c r="I34" s="537"/>
      <c r="J34" s="537"/>
      <c r="K34" s="537"/>
      <c r="L34" s="537"/>
      <c r="M34" s="537"/>
      <c r="N34" s="537"/>
      <c r="O34" s="537"/>
      <c r="P34" s="537"/>
      <c r="Q34" s="537"/>
      <c r="R34" s="537"/>
      <c r="S34" s="537"/>
      <c r="T34" s="537"/>
      <c r="U34" s="537"/>
      <c r="V34" s="537"/>
      <c r="W34" s="537"/>
      <c r="X34" s="537"/>
      <c r="Y34" s="537"/>
      <c r="Z34" s="537"/>
      <c r="AA34" s="537"/>
      <c r="AB34" s="537"/>
      <c r="AC34" s="537"/>
      <c r="AD34" s="537"/>
      <c r="AE34" s="537"/>
      <c r="AF34" s="537"/>
      <c r="AG34" s="537"/>
      <c r="AH34" s="537"/>
      <c r="AI34" s="537"/>
      <c r="AJ34" s="537"/>
      <c r="AK34" s="537"/>
      <c r="AL34" s="537"/>
      <c r="AM34" s="537"/>
      <c r="AN34" s="537"/>
      <c r="AO34" s="537"/>
      <c r="AP34" s="537"/>
      <c r="AQ34" s="537"/>
    </row>
    <row r="35" spans="2:43" ht="13.8" hidden="1" customHeight="1" x14ac:dyDescent="0.25">
      <c r="B35" s="53"/>
      <c r="C35" s="31" t="s">
        <v>304</v>
      </c>
      <c r="D35" s="537"/>
      <c r="E35" s="537"/>
      <c r="F35" s="537"/>
      <c r="G35" s="537"/>
      <c r="H35" s="537"/>
      <c r="I35" s="537"/>
      <c r="J35" s="537"/>
      <c r="K35" s="537"/>
      <c r="L35" s="537"/>
      <c r="M35" s="537"/>
      <c r="N35" s="537"/>
      <c r="O35" s="537"/>
      <c r="P35" s="537"/>
      <c r="Q35" s="537"/>
      <c r="R35" s="537"/>
      <c r="S35" s="537"/>
      <c r="T35" s="537"/>
      <c r="U35" s="537"/>
      <c r="V35" s="537"/>
      <c r="W35" s="537"/>
      <c r="X35" s="537"/>
      <c r="Y35" s="537"/>
      <c r="Z35" s="537"/>
      <c r="AA35" s="537"/>
      <c r="AB35" s="537"/>
      <c r="AC35" s="537"/>
      <c r="AD35" s="537"/>
      <c r="AE35" s="537"/>
      <c r="AF35" s="537"/>
      <c r="AG35" s="537"/>
      <c r="AH35" s="537"/>
      <c r="AI35" s="537"/>
      <c r="AJ35" s="537"/>
      <c r="AK35" s="537"/>
      <c r="AL35" s="537"/>
      <c r="AM35" s="537"/>
      <c r="AN35" s="537"/>
      <c r="AO35" s="537"/>
      <c r="AP35" s="537"/>
      <c r="AQ35" s="537"/>
    </row>
    <row r="36" spans="2:43" ht="13.8" hidden="1" customHeight="1" x14ac:dyDescent="0.25">
      <c r="B36" s="53"/>
      <c r="C36" s="31"/>
      <c r="D36" s="537"/>
      <c r="E36" s="537"/>
      <c r="F36" s="537"/>
      <c r="G36" s="537"/>
      <c r="H36" s="537"/>
      <c r="I36" s="537"/>
      <c r="J36" s="537"/>
      <c r="K36" s="537"/>
      <c r="L36" s="537"/>
      <c r="M36" s="537"/>
      <c r="N36" s="537"/>
      <c r="O36" s="537"/>
      <c r="P36" s="537"/>
      <c r="Q36" s="537"/>
      <c r="R36" s="537"/>
      <c r="S36" s="537"/>
      <c r="T36" s="537"/>
      <c r="U36" s="537"/>
      <c r="V36" s="537"/>
      <c r="W36" s="537"/>
      <c r="X36" s="537"/>
      <c r="Y36" s="537"/>
      <c r="Z36" s="537"/>
      <c r="AA36" s="537"/>
      <c r="AB36" s="537"/>
      <c r="AC36" s="537"/>
      <c r="AD36" s="537"/>
      <c r="AE36" s="537"/>
      <c r="AF36" s="537"/>
      <c r="AG36" s="537"/>
      <c r="AH36" s="537"/>
      <c r="AI36" s="537"/>
      <c r="AJ36" s="537"/>
      <c r="AK36" s="537"/>
      <c r="AL36" s="537"/>
      <c r="AM36" s="537"/>
      <c r="AN36" s="537"/>
      <c r="AO36" s="537"/>
      <c r="AP36" s="537"/>
      <c r="AQ36" s="537"/>
    </row>
    <row r="37" spans="2:43" ht="13.8" hidden="1" customHeight="1" x14ac:dyDescent="0.25">
      <c r="B37" s="53"/>
      <c r="C37" s="53" t="s">
        <v>77</v>
      </c>
      <c r="D37" s="537"/>
      <c r="E37" s="537"/>
      <c r="F37" s="537"/>
      <c r="G37" s="537"/>
      <c r="H37" s="537"/>
      <c r="I37" s="537"/>
      <c r="J37" s="537"/>
      <c r="K37" s="537"/>
      <c r="L37" s="537"/>
      <c r="M37" s="537"/>
      <c r="N37" s="537"/>
      <c r="O37" s="537"/>
      <c r="P37" s="537"/>
      <c r="Q37" s="537"/>
      <c r="R37" s="537"/>
      <c r="S37" s="537"/>
      <c r="T37" s="537"/>
      <c r="U37" s="537"/>
      <c r="V37" s="537"/>
      <c r="W37" s="537"/>
      <c r="X37" s="537"/>
      <c r="Y37" s="537"/>
      <c r="Z37" s="537"/>
      <c r="AA37" s="537"/>
      <c r="AB37" s="537"/>
      <c r="AC37" s="537"/>
      <c r="AD37" s="537"/>
      <c r="AE37" s="537"/>
      <c r="AF37" s="537"/>
      <c r="AG37" s="537"/>
      <c r="AH37" s="537"/>
      <c r="AI37" s="537"/>
      <c r="AJ37" s="537"/>
      <c r="AK37" s="537"/>
      <c r="AL37" s="537"/>
      <c r="AM37" s="537"/>
      <c r="AN37" s="537"/>
      <c r="AO37" s="537"/>
      <c r="AP37" s="537"/>
      <c r="AQ37" s="537"/>
    </row>
    <row r="38" spans="2:43" ht="13.8" hidden="1" customHeight="1" x14ac:dyDescent="0.25">
      <c r="B38" s="53"/>
      <c r="C38" s="103" t="s">
        <v>302</v>
      </c>
      <c r="D38" s="537"/>
      <c r="E38" s="537"/>
      <c r="F38" s="537"/>
      <c r="G38" s="537"/>
      <c r="H38" s="537"/>
      <c r="I38" s="537"/>
      <c r="J38" s="537"/>
      <c r="K38" s="537"/>
      <c r="L38" s="537"/>
      <c r="M38" s="537"/>
      <c r="N38" s="537"/>
      <c r="O38" s="537"/>
      <c r="P38" s="537"/>
      <c r="Q38" s="537"/>
      <c r="R38" s="537"/>
      <c r="S38" s="537"/>
      <c r="T38" s="537"/>
      <c r="U38" s="537"/>
      <c r="V38" s="537"/>
      <c r="W38" s="537"/>
      <c r="X38" s="537"/>
      <c r="Y38" s="537"/>
      <c r="Z38" s="537"/>
      <c r="AA38" s="537"/>
      <c r="AB38" s="537"/>
      <c r="AC38" s="537"/>
      <c r="AD38" s="537"/>
      <c r="AE38" s="537"/>
      <c r="AF38" s="537"/>
      <c r="AG38" s="537"/>
      <c r="AH38" s="537"/>
      <c r="AI38" s="537"/>
      <c r="AJ38" s="537"/>
      <c r="AK38" s="537"/>
      <c r="AL38" s="537"/>
      <c r="AM38" s="537"/>
      <c r="AN38" s="537"/>
      <c r="AO38" s="537"/>
      <c r="AP38" s="537"/>
      <c r="AQ38" s="537"/>
    </row>
    <row r="39" spans="2:43" ht="13.8" hidden="1" customHeight="1" x14ac:dyDescent="0.25">
      <c r="B39" s="53"/>
      <c r="C39" s="104" t="s">
        <v>303</v>
      </c>
      <c r="D39" s="537"/>
      <c r="E39" s="537"/>
      <c r="F39" s="537"/>
      <c r="G39" s="537"/>
      <c r="H39" s="537"/>
      <c r="I39" s="537"/>
      <c r="J39" s="537"/>
      <c r="K39" s="537"/>
      <c r="L39" s="537"/>
      <c r="M39" s="537"/>
      <c r="N39" s="537"/>
      <c r="O39" s="537"/>
      <c r="P39" s="537"/>
      <c r="Q39" s="537"/>
      <c r="R39" s="537"/>
      <c r="S39" s="537"/>
      <c r="T39" s="537"/>
      <c r="U39" s="537"/>
      <c r="V39" s="537"/>
      <c r="W39" s="537"/>
      <c r="X39" s="537"/>
      <c r="Y39" s="537"/>
      <c r="Z39" s="537"/>
      <c r="AA39" s="537"/>
      <c r="AB39" s="537"/>
      <c r="AC39" s="537"/>
      <c r="AD39" s="537"/>
      <c r="AE39" s="537"/>
      <c r="AF39" s="537"/>
      <c r="AG39" s="537"/>
      <c r="AH39" s="537"/>
      <c r="AI39" s="537"/>
      <c r="AJ39" s="537"/>
      <c r="AK39" s="537"/>
      <c r="AL39" s="537"/>
      <c r="AM39" s="537"/>
      <c r="AN39" s="537"/>
      <c r="AO39" s="537"/>
      <c r="AP39" s="537"/>
      <c r="AQ39" s="537"/>
    </row>
    <row r="40" spans="2:43" ht="13.8" hidden="1" customHeight="1" x14ac:dyDescent="0.25">
      <c r="B40" s="53"/>
      <c r="C40" s="31" t="s">
        <v>304</v>
      </c>
      <c r="D40" s="537"/>
      <c r="E40" s="537"/>
      <c r="F40" s="537"/>
      <c r="G40" s="537"/>
      <c r="H40" s="537"/>
      <c r="I40" s="537"/>
      <c r="J40" s="537"/>
      <c r="K40" s="537"/>
      <c r="L40" s="537"/>
      <c r="M40" s="537"/>
      <c r="N40" s="537"/>
      <c r="O40" s="537"/>
      <c r="P40" s="537"/>
      <c r="Q40" s="537"/>
      <c r="R40" s="537"/>
      <c r="S40" s="537"/>
      <c r="T40" s="537"/>
      <c r="U40" s="537"/>
      <c r="V40" s="537"/>
      <c r="W40" s="537"/>
      <c r="X40" s="537"/>
      <c r="Y40" s="537"/>
      <c r="Z40" s="537"/>
      <c r="AA40" s="537"/>
      <c r="AB40" s="537"/>
      <c r="AC40" s="537"/>
      <c r="AD40" s="537"/>
      <c r="AE40" s="537"/>
      <c r="AF40" s="537"/>
      <c r="AG40" s="537"/>
      <c r="AH40" s="537"/>
      <c r="AI40" s="537"/>
      <c r="AJ40" s="537"/>
      <c r="AK40" s="537"/>
      <c r="AL40" s="537"/>
      <c r="AM40" s="537"/>
      <c r="AN40" s="537"/>
      <c r="AO40" s="537"/>
      <c r="AP40" s="537"/>
      <c r="AQ40" s="537"/>
    </row>
    <row r="41" spans="2:43" ht="13.8" hidden="1" customHeight="1" x14ac:dyDescent="0.25">
      <c r="B41" s="53"/>
      <c r="C41" s="31" t="s">
        <v>304</v>
      </c>
      <c r="D41" s="537"/>
      <c r="E41" s="537"/>
      <c r="F41" s="537"/>
      <c r="G41" s="537"/>
      <c r="H41" s="537"/>
      <c r="I41" s="537"/>
      <c r="J41" s="537"/>
      <c r="K41" s="537"/>
      <c r="L41" s="537"/>
      <c r="M41" s="537"/>
      <c r="N41" s="537"/>
      <c r="O41" s="537"/>
      <c r="P41" s="537"/>
      <c r="Q41" s="537"/>
      <c r="R41" s="537"/>
      <c r="S41" s="537"/>
      <c r="T41" s="537"/>
      <c r="U41" s="537"/>
      <c r="V41" s="537"/>
      <c r="W41" s="537"/>
      <c r="X41" s="537"/>
      <c r="Y41" s="537"/>
      <c r="Z41" s="537"/>
      <c r="AA41" s="537"/>
      <c r="AB41" s="537"/>
      <c r="AC41" s="537"/>
      <c r="AD41" s="537"/>
      <c r="AE41" s="537"/>
      <c r="AF41" s="537"/>
      <c r="AG41" s="537"/>
      <c r="AH41" s="537"/>
      <c r="AI41" s="537"/>
      <c r="AJ41" s="537"/>
      <c r="AK41" s="537"/>
      <c r="AL41" s="537"/>
      <c r="AM41" s="537"/>
      <c r="AN41" s="537"/>
      <c r="AO41" s="537"/>
      <c r="AP41" s="537"/>
      <c r="AQ41" s="537"/>
    </row>
    <row r="42" spans="2:43" ht="13.8" hidden="1" customHeight="1" x14ac:dyDescent="0.25">
      <c r="B42" s="53"/>
      <c r="C42" s="104" t="s">
        <v>305</v>
      </c>
      <c r="D42" s="537"/>
      <c r="E42" s="537"/>
      <c r="F42" s="537"/>
      <c r="G42" s="537"/>
      <c r="H42" s="537"/>
      <c r="I42" s="537"/>
      <c r="J42" s="537"/>
      <c r="K42" s="537"/>
      <c r="L42" s="537"/>
      <c r="M42" s="537"/>
      <c r="N42" s="537"/>
      <c r="O42" s="537"/>
      <c r="P42" s="537"/>
      <c r="Q42" s="537"/>
      <c r="R42" s="537"/>
      <c r="S42" s="537"/>
      <c r="T42" s="537"/>
      <c r="U42" s="537"/>
      <c r="V42" s="537"/>
      <c r="W42" s="537"/>
      <c r="X42" s="537"/>
      <c r="Y42" s="537"/>
      <c r="Z42" s="537"/>
      <c r="AA42" s="537"/>
      <c r="AB42" s="537"/>
      <c r="AC42" s="537"/>
      <c r="AD42" s="537"/>
      <c r="AE42" s="537"/>
      <c r="AF42" s="537"/>
      <c r="AG42" s="537"/>
      <c r="AH42" s="537"/>
      <c r="AI42" s="537"/>
      <c r="AJ42" s="537"/>
      <c r="AK42" s="537"/>
      <c r="AL42" s="537"/>
      <c r="AM42" s="537"/>
      <c r="AN42" s="537"/>
      <c r="AO42" s="537"/>
      <c r="AP42" s="537"/>
      <c r="AQ42" s="537"/>
    </row>
    <row r="43" spans="2:43" ht="13.8" hidden="1" customHeight="1" x14ac:dyDescent="0.25">
      <c r="B43" s="53"/>
      <c r="C43" s="31" t="s">
        <v>304</v>
      </c>
      <c r="D43" s="537"/>
      <c r="E43" s="537"/>
      <c r="F43" s="537"/>
      <c r="G43" s="537"/>
      <c r="H43" s="537"/>
      <c r="I43" s="537"/>
      <c r="J43" s="537"/>
      <c r="K43" s="537"/>
      <c r="L43" s="537"/>
      <c r="M43" s="537"/>
      <c r="N43" s="537"/>
      <c r="O43" s="537"/>
      <c r="P43" s="537"/>
      <c r="Q43" s="537"/>
      <c r="R43" s="537"/>
      <c r="S43" s="537"/>
      <c r="T43" s="537"/>
      <c r="U43" s="537"/>
      <c r="V43" s="537"/>
      <c r="W43" s="537"/>
      <c r="X43" s="537"/>
      <c r="Y43" s="537"/>
      <c r="Z43" s="537"/>
      <c r="AA43" s="537"/>
      <c r="AB43" s="537"/>
      <c r="AC43" s="537"/>
      <c r="AD43" s="537"/>
      <c r="AE43" s="537"/>
      <c r="AF43" s="537"/>
      <c r="AG43" s="537"/>
      <c r="AH43" s="537"/>
      <c r="AI43" s="537"/>
      <c r="AJ43" s="537"/>
      <c r="AK43" s="537"/>
      <c r="AL43" s="537"/>
      <c r="AM43" s="537"/>
      <c r="AN43" s="537"/>
      <c r="AO43" s="537"/>
      <c r="AP43" s="537"/>
      <c r="AQ43" s="537"/>
    </row>
    <row r="44" spans="2:43" ht="13.8" hidden="1" customHeight="1" x14ac:dyDescent="0.25">
      <c r="B44" s="53"/>
      <c r="C44" s="31" t="s">
        <v>304</v>
      </c>
      <c r="D44" s="537"/>
      <c r="E44" s="537"/>
      <c r="F44" s="537"/>
      <c r="G44" s="537"/>
      <c r="H44" s="537"/>
      <c r="I44" s="537"/>
      <c r="J44" s="537"/>
      <c r="K44" s="537"/>
      <c r="L44" s="537"/>
      <c r="M44" s="537"/>
      <c r="N44" s="537"/>
      <c r="O44" s="537"/>
      <c r="P44" s="537"/>
      <c r="Q44" s="537"/>
      <c r="R44" s="537"/>
      <c r="S44" s="537"/>
      <c r="T44" s="537"/>
      <c r="U44" s="537"/>
      <c r="V44" s="537"/>
      <c r="W44" s="537"/>
      <c r="X44" s="537"/>
      <c r="Y44" s="537"/>
      <c r="Z44" s="537"/>
      <c r="AA44" s="537"/>
      <c r="AB44" s="537"/>
      <c r="AC44" s="537"/>
      <c r="AD44" s="537"/>
      <c r="AE44" s="537"/>
      <c r="AF44" s="537"/>
      <c r="AG44" s="537"/>
      <c r="AH44" s="537"/>
      <c r="AI44" s="537"/>
      <c r="AJ44" s="537"/>
      <c r="AK44" s="537"/>
      <c r="AL44" s="537"/>
      <c r="AM44" s="537"/>
      <c r="AN44" s="537"/>
      <c r="AO44" s="537"/>
      <c r="AP44" s="537"/>
      <c r="AQ44" s="537"/>
    </row>
    <row r="45" spans="2:43" ht="13.8" hidden="1" customHeight="1" x14ac:dyDescent="0.25">
      <c r="B45" s="53"/>
      <c r="C45" s="53" t="s">
        <v>306</v>
      </c>
      <c r="D45" s="537"/>
      <c r="E45" s="537"/>
      <c r="F45" s="537"/>
      <c r="G45" s="537"/>
      <c r="H45" s="537"/>
      <c r="I45" s="537"/>
      <c r="J45" s="537"/>
      <c r="K45" s="537"/>
      <c r="L45" s="537"/>
      <c r="M45" s="537"/>
      <c r="N45" s="537"/>
      <c r="O45" s="537"/>
      <c r="P45" s="537"/>
      <c r="Q45" s="537"/>
      <c r="R45" s="537"/>
      <c r="S45" s="537"/>
      <c r="T45" s="537"/>
      <c r="U45" s="537"/>
      <c r="V45" s="537"/>
      <c r="W45" s="537"/>
      <c r="X45" s="537"/>
      <c r="Y45" s="537"/>
      <c r="Z45" s="537"/>
      <c r="AA45" s="537"/>
      <c r="AB45" s="537"/>
      <c r="AC45" s="537"/>
      <c r="AD45" s="537"/>
      <c r="AE45" s="537"/>
      <c r="AF45" s="537"/>
      <c r="AG45" s="537"/>
      <c r="AH45" s="537"/>
      <c r="AI45" s="537"/>
      <c r="AJ45" s="537"/>
      <c r="AK45" s="537"/>
      <c r="AL45" s="537"/>
      <c r="AM45" s="537"/>
      <c r="AN45" s="537"/>
      <c r="AO45" s="537"/>
      <c r="AP45" s="537"/>
      <c r="AQ45" s="537"/>
    </row>
    <row r="46" spans="2:43" ht="13.8" hidden="1" customHeight="1" x14ac:dyDescent="0.25">
      <c r="B46" s="53"/>
      <c r="C46" s="31" t="s">
        <v>304</v>
      </c>
      <c r="D46" s="537"/>
      <c r="E46" s="537"/>
      <c r="F46" s="537"/>
      <c r="G46" s="537"/>
      <c r="H46" s="537"/>
      <c r="I46" s="537"/>
      <c r="J46" s="537"/>
      <c r="K46" s="537"/>
      <c r="L46" s="537"/>
      <c r="M46" s="537"/>
      <c r="N46" s="537"/>
      <c r="O46" s="537"/>
      <c r="P46" s="537"/>
      <c r="Q46" s="537"/>
      <c r="R46" s="537"/>
      <c r="S46" s="537"/>
      <c r="T46" s="537"/>
      <c r="U46" s="537"/>
      <c r="V46" s="537"/>
      <c r="W46" s="537"/>
      <c r="X46" s="537"/>
      <c r="Y46" s="537"/>
      <c r="Z46" s="537"/>
      <c r="AA46" s="537"/>
      <c r="AB46" s="537"/>
      <c r="AC46" s="537"/>
      <c r="AD46" s="537"/>
      <c r="AE46" s="537"/>
      <c r="AF46" s="537"/>
      <c r="AG46" s="537"/>
      <c r="AH46" s="537"/>
      <c r="AI46" s="537"/>
      <c r="AJ46" s="537"/>
      <c r="AK46" s="537"/>
      <c r="AL46" s="537"/>
      <c r="AM46" s="537"/>
      <c r="AN46" s="537"/>
      <c r="AO46" s="537"/>
      <c r="AP46" s="537"/>
      <c r="AQ46" s="537"/>
    </row>
    <row r="47" spans="2:43" ht="13.8" hidden="1" customHeight="1" x14ac:dyDescent="0.25">
      <c r="B47" s="53"/>
      <c r="C47" s="31" t="s">
        <v>304</v>
      </c>
      <c r="D47" s="537"/>
      <c r="E47" s="537"/>
      <c r="F47" s="537"/>
      <c r="G47" s="537"/>
      <c r="H47" s="537"/>
      <c r="I47" s="537"/>
      <c r="J47" s="537"/>
      <c r="K47" s="537"/>
      <c r="L47" s="537"/>
      <c r="M47" s="537"/>
      <c r="N47" s="537"/>
      <c r="O47" s="537"/>
      <c r="P47" s="537"/>
      <c r="Q47" s="537"/>
      <c r="R47" s="537"/>
      <c r="S47" s="537"/>
      <c r="T47" s="537"/>
      <c r="U47" s="537"/>
      <c r="V47" s="537"/>
      <c r="W47" s="537"/>
      <c r="X47" s="537"/>
      <c r="Y47" s="537"/>
      <c r="Z47" s="537"/>
      <c r="AA47" s="537"/>
      <c r="AB47" s="537"/>
      <c r="AC47" s="537"/>
      <c r="AD47" s="537"/>
      <c r="AE47" s="537"/>
      <c r="AF47" s="537"/>
      <c r="AG47" s="537"/>
      <c r="AH47" s="537"/>
      <c r="AI47" s="537"/>
      <c r="AJ47" s="537"/>
      <c r="AK47" s="537"/>
      <c r="AL47" s="537"/>
      <c r="AM47" s="537"/>
      <c r="AN47" s="537"/>
      <c r="AO47" s="537"/>
      <c r="AP47" s="537"/>
      <c r="AQ47" s="537"/>
    </row>
    <row r="48" spans="2:43" ht="13.8" hidden="1" customHeight="1" x14ac:dyDescent="0.25">
      <c r="B48" s="53"/>
      <c r="C48" s="31"/>
      <c r="D48" s="537"/>
      <c r="E48" s="537"/>
      <c r="F48" s="537"/>
      <c r="G48" s="537"/>
      <c r="H48" s="537"/>
      <c r="I48" s="537"/>
      <c r="J48" s="537"/>
      <c r="K48" s="537"/>
      <c r="L48" s="537"/>
      <c r="M48" s="537"/>
      <c r="N48" s="537"/>
      <c r="O48" s="537"/>
      <c r="P48" s="537"/>
      <c r="Q48" s="537"/>
      <c r="R48" s="537"/>
      <c r="S48" s="537"/>
      <c r="T48" s="537"/>
      <c r="U48" s="537"/>
      <c r="V48" s="537"/>
      <c r="W48" s="537"/>
      <c r="X48" s="537"/>
      <c r="Y48" s="537"/>
      <c r="Z48" s="537"/>
      <c r="AA48" s="537"/>
      <c r="AB48" s="537"/>
      <c r="AC48" s="537"/>
      <c r="AD48" s="537"/>
      <c r="AE48" s="537"/>
      <c r="AF48" s="537"/>
      <c r="AG48" s="537"/>
      <c r="AH48" s="537"/>
      <c r="AI48" s="537"/>
      <c r="AJ48" s="537"/>
      <c r="AK48" s="537"/>
      <c r="AL48" s="537"/>
      <c r="AM48" s="537"/>
      <c r="AN48" s="537"/>
      <c r="AO48" s="537"/>
      <c r="AP48" s="537"/>
      <c r="AQ48" s="537"/>
    </row>
    <row r="49" spans="2:43" x14ac:dyDescent="0.25">
      <c r="B49" s="53"/>
      <c r="C49" s="53" t="s">
        <v>87</v>
      </c>
      <c r="D49" s="537"/>
      <c r="E49" s="537"/>
      <c r="F49" s="537"/>
      <c r="G49" s="537"/>
      <c r="H49" s="537"/>
      <c r="I49" s="537"/>
      <c r="J49" s="537"/>
      <c r="K49" s="537"/>
      <c r="L49" s="537"/>
      <c r="M49" s="537"/>
      <c r="N49" s="537"/>
      <c r="O49" s="537"/>
      <c r="P49" s="537"/>
      <c r="Q49" s="537"/>
      <c r="R49" s="537"/>
      <c r="S49" s="537"/>
      <c r="T49" s="537"/>
      <c r="U49" s="537"/>
      <c r="V49" s="537"/>
      <c r="W49" s="537"/>
      <c r="X49" s="537"/>
      <c r="Y49" s="537"/>
      <c r="Z49" s="537"/>
      <c r="AA49" s="537"/>
      <c r="AB49" s="537"/>
      <c r="AC49" s="537"/>
      <c r="AD49" s="537"/>
      <c r="AE49" s="537"/>
      <c r="AF49" s="537"/>
      <c r="AG49" s="537"/>
      <c r="AH49" s="537"/>
      <c r="AI49" s="537"/>
      <c r="AJ49" s="537"/>
      <c r="AK49" s="537"/>
      <c r="AL49" s="537"/>
      <c r="AM49" s="537"/>
      <c r="AN49" s="537"/>
      <c r="AO49" s="537"/>
      <c r="AP49" s="537"/>
      <c r="AQ49" s="537"/>
    </row>
    <row r="50" spans="2:43" x14ac:dyDescent="0.25">
      <c r="B50" s="53"/>
      <c r="C50" s="103" t="s">
        <v>302</v>
      </c>
      <c r="D50" s="537"/>
      <c r="E50" s="882" t="s">
        <v>1048</v>
      </c>
      <c r="F50" s="881" t="s">
        <v>1047</v>
      </c>
      <c r="G50" s="537"/>
      <c r="H50" s="537"/>
      <c r="I50" s="537"/>
      <c r="J50" s="537"/>
      <c r="K50" s="537"/>
      <c r="L50" s="537"/>
      <c r="M50" s="537"/>
      <c r="N50" s="537"/>
      <c r="O50" s="537"/>
      <c r="P50" s="537"/>
      <c r="Q50" s="537"/>
      <c r="R50" s="537"/>
      <c r="S50" s="537"/>
      <c r="T50" s="537"/>
      <c r="U50" s="537"/>
      <c r="V50" s="537"/>
      <c r="W50" s="537"/>
      <c r="X50" s="537"/>
      <c r="Y50" s="537"/>
      <c r="Z50" s="537"/>
      <c r="AA50" s="537"/>
      <c r="AB50" s="537"/>
      <c r="AC50" s="537"/>
      <c r="AD50" s="537"/>
      <c r="AE50" s="537"/>
      <c r="AF50" s="537"/>
      <c r="AG50" s="537"/>
      <c r="AH50" s="537"/>
      <c r="AI50" s="537"/>
      <c r="AJ50" s="537"/>
      <c r="AK50" s="537"/>
      <c r="AL50" s="537"/>
      <c r="AM50" s="537"/>
      <c r="AN50" s="537"/>
      <c r="AO50" s="537"/>
      <c r="AP50" s="1085" t="s">
        <v>1042</v>
      </c>
      <c r="AQ50" s="1086"/>
    </row>
    <row r="51" spans="2:43" x14ac:dyDescent="0.25">
      <c r="B51" s="53"/>
      <c r="C51" s="104" t="s">
        <v>303</v>
      </c>
      <c r="D51" s="537"/>
      <c r="E51" s="537"/>
      <c r="F51" s="537"/>
      <c r="G51" s="537"/>
      <c r="H51" s="537"/>
      <c r="I51" s="537"/>
      <c r="J51" s="537"/>
      <c r="K51" s="537"/>
      <c r="L51" s="537"/>
      <c r="M51" s="537"/>
      <c r="N51" s="537"/>
      <c r="O51" s="537"/>
      <c r="P51" s="537"/>
      <c r="Q51" s="537"/>
      <c r="R51" s="537"/>
      <c r="S51" s="894"/>
      <c r="T51" s="894"/>
      <c r="U51" s="894"/>
      <c r="V51" s="894"/>
      <c r="W51" s="537"/>
      <c r="X51" s="537"/>
      <c r="Y51" s="537"/>
      <c r="Z51" s="537"/>
      <c r="AA51" s="537"/>
      <c r="AB51" s="537"/>
      <c r="AC51" s="537"/>
      <c r="AD51" s="537"/>
      <c r="AE51" s="537"/>
      <c r="AF51" s="537"/>
      <c r="AG51" s="537"/>
      <c r="AH51" s="537"/>
      <c r="AI51" s="537"/>
      <c r="AJ51" s="537"/>
      <c r="AK51" s="537"/>
      <c r="AL51" s="537"/>
      <c r="AM51" s="537"/>
      <c r="AN51" s="537"/>
      <c r="AO51" s="537"/>
      <c r="AP51" s="1087"/>
      <c r="AQ51" s="1088"/>
    </row>
    <row r="52" spans="2:43" ht="13.8" hidden="1" customHeight="1" x14ac:dyDescent="0.25">
      <c r="B52" s="53"/>
      <c r="C52" s="31" t="s">
        <v>304</v>
      </c>
      <c r="D52" s="537"/>
      <c r="E52" s="537"/>
      <c r="F52" s="537"/>
      <c r="G52" s="537"/>
      <c r="H52" s="537"/>
      <c r="I52" s="537"/>
      <c r="J52" s="537"/>
      <c r="K52" s="537"/>
      <c r="L52" s="537"/>
      <c r="M52" s="537"/>
      <c r="N52" s="537"/>
      <c r="O52" s="537"/>
      <c r="P52" s="537"/>
      <c r="Q52" s="537"/>
      <c r="R52" s="537"/>
      <c r="S52" s="894"/>
      <c r="T52" s="894"/>
      <c r="U52" s="894"/>
      <c r="V52" s="894"/>
      <c r="W52" s="537"/>
      <c r="X52" s="537"/>
      <c r="Y52" s="537"/>
      <c r="Z52" s="537"/>
      <c r="AA52" s="537"/>
      <c r="AB52" s="537"/>
      <c r="AC52" s="537"/>
      <c r="AD52" s="537"/>
      <c r="AE52" s="537"/>
      <c r="AF52" s="537"/>
      <c r="AG52" s="537"/>
      <c r="AH52" s="537"/>
      <c r="AI52" s="537"/>
      <c r="AJ52" s="537"/>
      <c r="AK52" s="537"/>
      <c r="AL52" s="537"/>
      <c r="AM52" s="537"/>
      <c r="AN52" s="537"/>
      <c r="AO52" s="537"/>
      <c r="AP52" s="1087"/>
      <c r="AQ52" s="1088"/>
    </row>
    <row r="53" spans="2:43" ht="13.8" hidden="1" customHeight="1" x14ac:dyDescent="0.25">
      <c r="B53" s="53"/>
      <c r="C53" s="31" t="s">
        <v>304</v>
      </c>
      <c r="D53" s="537"/>
      <c r="E53" s="537"/>
      <c r="F53" s="537"/>
      <c r="G53" s="537"/>
      <c r="H53" s="537"/>
      <c r="I53" s="537"/>
      <c r="J53" s="537"/>
      <c r="K53" s="537"/>
      <c r="L53" s="537"/>
      <c r="M53" s="537"/>
      <c r="N53" s="537"/>
      <c r="O53" s="537"/>
      <c r="P53" s="537"/>
      <c r="Q53" s="537"/>
      <c r="R53" s="537"/>
      <c r="S53" s="894"/>
      <c r="T53" s="894"/>
      <c r="U53" s="894"/>
      <c r="V53" s="894"/>
      <c r="W53" s="537"/>
      <c r="X53" s="537"/>
      <c r="Y53" s="537"/>
      <c r="Z53" s="537"/>
      <c r="AA53" s="537"/>
      <c r="AB53" s="537"/>
      <c r="AC53" s="537"/>
      <c r="AD53" s="537"/>
      <c r="AE53" s="537"/>
      <c r="AF53" s="537"/>
      <c r="AG53" s="537"/>
      <c r="AH53" s="537"/>
      <c r="AI53" s="537"/>
      <c r="AJ53" s="537"/>
      <c r="AK53" s="537"/>
      <c r="AL53" s="537"/>
      <c r="AM53" s="537"/>
      <c r="AN53" s="537"/>
      <c r="AO53" s="537"/>
      <c r="AP53" s="1087"/>
      <c r="AQ53" s="1088"/>
    </row>
    <row r="54" spans="2:43" x14ac:dyDescent="0.25">
      <c r="B54" s="53"/>
      <c r="C54" s="104" t="s">
        <v>305</v>
      </c>
      <c r="D54" s="537"/>
      <c r="E54" s="537"/>
      <c r="F54" s="537"/>
      <c r="G54" s="537"/>
      <c r="H54" s="537"/>
      <c r="I54" s="537"/>
      <c r="J54" s="537"/>
      <c r="K54" s="537"/>
      <c r="L54" s="537"/>
      <c r="M54" s="537"/>
      <c r="N54" s="537"/>
      <c r="O54" s="537"/>
      <c r="P54" s="537"/>
      <c r="Q54" s="537"/>
      <c r="R54" s="537"/>
      <c r="S54" s="894"/>
      <c r="T54" s="894"/>
      <c r="U54" s="894"/>
      <c r="V54" s="894"/>
      <c r="W54" s="537"/>
      <c r="X54" s="537"/>
      <c r="Y54" s="537"/>
      <c r="Z54" s="537"/>
      <c r="AA54" s="537"/>
      <c r="AB54" s="537"/>
      <c r="AC54" s="537"/>
      <c r="AD54" s="537"/>
      <c r="AE54" s="537"/>
      <c r="AF54" s="537"/>
      <c r="AG54" s="537"/>
      <c r="AH54" s="537"/>
      <c r="AI54" s="537"/>
      <c r="AJ54" s="537"/>
      <c r="AK54" s="537"/>
      <c r="AL54" s="537"/>
      <c r="AM54" s="537"/>
      <c r="AN54" s="537"/>
      <c r="AO54" s="537"/>
      <c r="AP54" s="1087"/>
      <c r="AQ54" s="1088"/>
    </row>
    <row r="55" spans="2:43" ht="13.8" hidden="1" customHeight="1" x14ac:dyDescent="0.25">
      <c r="B55" s="53"/>
      <c r="C55" s="31" t="s">
        <v>304</v>
      </c>
      <c r="D55" s="537"/>
      <c r="E55" s="537"/>
      <c r="F55" s="537"/>
      <c r="G55" s="537"/>
      <c r="H55" s="537"/>
      <c r="I55" s="537"/>
      <c r="J55" s="537"/>
      <c r="K55" s="537"/>
      <c r="L55" s="537"/>
      <c r="M55" s="537"/>
      <c r="N55" s="537"/>
      <c r="O55" s="537"/>
      <c r="P55" s="537"/>
      <c r="Q55" s="537"/>
      <c r="R55" s="537"/>
      <c r="S55" s="894"/>
      <c r="T55" s="894"/>
      <c r="U55" s="894"/>
      <c r="V55" s="894"/>
      <c r="W55" s="537"/>
      <c r="X55" s="537"/>
      <c r="Y55" s="537"/>
      <c r="Z55" s="537"/>
      <c r="AA55" s="537"/>
      <c r="AB55" s="537"/>
      <c r="AC55" s="537"/>
      <c r="AD55" s="537"/>
      <c r="AE55" s="537"/>
      <c r="AF55" s="537"/>
      <c r="AG55" s="537"/>
      <c r="AH55" s="537"/>
      <c r="AI55" s="537"/>
      <c r="AJ55" s="537"/>
      <c r="AK55" s="537"/>
      <c r="AL55" s="537"/>
      <c r="AM55" s="537"/>
      <c r="AN55" s="537"/>
      <c r="AO55" s="537"/>
      <c r="AP55" s="1087"/>
      <c r="AQ55" s="1088"/>
    </row>
    <row r="56" spans="2:43" ht="13.8" hidden="1" customHeight="1" x14ac:dyDescent="0.25">
      <c r="B56" s="53"/>
      <c r="C56" s="31" t="s">
        <v>304</v>
      </c>
      <c r="D56" s="537"/>
      <c r="E56" s="537"/>
      <c r="F56" s="537"/>
      <c r="G56" s="537"/>
      <c r="H56" s="537"/>
      <c r="I56" s="537"/>
      <c r="J56" s="537"/>
      <c r="K56" s="537"/>
      <c r="L56" s="537"/>
      <c r="M56" s="537"/>
      <c r="N56" s="537"/>
      <c r="O56" s="537"/>
      <c r="P56" s="537"/>
      <c r="Q56" s="537"/>
      <c r="R56" s="537"/>
      <c r="S56" s="894"/>
      <c r="T56" s="894"/>
      <c r="U56" s="894"/>
      <c r="V56" s="894"/>
      <c r="W56" s="537"/>
      <c r="X56" s="537"/>
      <c r="Y56" s="537"/>
      <c r="Z56" s="537"/>
      <c r="AA56" s="537"/>
      <c r="AB56" s="537"/>
      <c r="AC56" s="537"/>
      <c r="AD56" s="537"/>
      <c r="AE56" s="537"/>
      <c r="AF56" s="537"/>
      <c r="AG56" s="537"/>
      <c r="AH56" s="537"/>
      <c r="AI56" s="537"/>
      <c r="AJ56" s="537"/>
      <c r="AK56" s="537"/>
      <c r="AL56" s="537"/>
      <c r="AM56" s="537"/>
      <c r="AN56" s="537"/>
      <c r="AO56" s="537"/>
      <c r="AP56" s="1087"/>
      <c r="AQ56" s="1088"/>
    </row>
    <row r="57" spans="2:43" x14ac:dyDescent="0.25">
      <c r="B57" s="53"/>
      <c r="C57" s="53" t="s">
        <v>1046</v>
      </c>
      <c r="D57" s="537"/>
      <c r="E57" s="537"/>
      <c r="F57" s="537"/>
      <c r="G57" s="537"/>
      <c r="H57" s="537"/>
      <c r="I57" s="537"/>
      <c r="J57" s="537"/>
      <c r="K57" s="537"/>
      <c r="L57" s="537"/>
      <c r="M57" s="537"/>
      <c r="N57" s="537"/>
      <c r="O57" s="537"/>
      <c r="P57" s="537"/>
      <c r="Q57" s="537"/>
      <c r="R57" s="537"/>
      <c r="S57" s="894"/>
      <c r="T57" s="894"/>
      <c r="U57" s="894"/>
      <c r="V57" s="894"/>
      <c r="W57" s="537"/>
      <c r="X57" s="537"/>
      <c r="Y57" s="537"/>
      <c r="Z57" s="537"/>
      <c r="AA57" s="537"/>
      <c r="AB57" s="537"/>
      <c r="AC57" s="537"/>
      <c r="AD57" s="537"/>
      <c r="AE57" s="537"/>
      <c r="AF57" s="537"/>
      <c r="AG57" s="537"/>
      <c r="AH57" s="537"/>
      <c r="AI57" s="537"/>
      <c r="AJ57" s="537"/>
      <c r="AK57" s="537"/>
      <c r="AL57" s="537"/>
      <c r="AM57" s="537"/>
      <c r="AN57" s="537"/>
      <c r="AO57" s="537"/>
      <c r="AP57" s="1087"/>
      <c r="AQ57" s="1088"/>
    </row>
    <row r="58" spans="2:43" x14ac:dyDescent="0.25">
      <c r="B58" s="53"/>
      <c r="C58" s="885" t="str">
        <f>+'F3.1'!B53</f>
        <v>Emergency Portable Light</v>
      </c>
      <c r="D58" s="537"/>
      <c r="E58" s="537" t="str">
        <f>IF('F3.1'!D53="","",'F3.1'!D53)</f>
        <v/>
      </c>
      <c r="F58" s="537" t="str">
        <f>IF('F3.1'!E53="","",'F3.1'!E53)</f>
        <v/>
      </c>
      <c r="G58" s="537"/>
      <c r="H58" s="892" t="s">
        <v>1051</v>
      </c>
      <c r="I58" s="537"/>
      <c r="J58" s="513" t="str">
        <f>+'F3.1'!G53</f>
        <v>2025-26</v>
      </c>
      <c r="K58" s="537"/>
      <c r="L58" s="513" t="str">
        <f>+'F3.1'!J53</f>
        <v>2025-26</v>
      </c>
      <c r="M58" s="537"/>
      <c r="N58" s="537"/>
      <c r="O58" s="537"/>
      <c r="P58" s="537"/>
      <c r="Q58" s="537"/>
      <c r="R58" s="537"/>
      <c r="S58" s="894">
        <f>+'F3.1'!M53</f>
        <v>3.5000000000000003E-2</v>
      </c>
      <c r="T58" s="894"/>
      <c r="U58" s="894"/>
      <c r="V58" s="894"/>
      <c r="W58" s="537"/>
      <c r="X58" s="537"/>
      <c r="Y58" s="537"/>
      <c r="Z58" s="537"/>
      <c r="AA58" s="537"/>
      <c r="AB58" s="893">
        <v>1</v>
      </c>
      <c r="AC58" s="537"/>
      <c r="AD58" s="537"/>
      <c r="AE58" s="537"/>
      <c r="AF58" s="537"/>
      <c r="AG58" s="537"/>
      <c r="AH58" s="537"/>
      <c r="AI58" s="537"/>
      <c r="AJ58" s="537"/>
      <c r="AK58" s="894">
        <f>+S58*AB58</f>
        <v>3.5000000000000003E-2</v>
      </c>
      <c r="AL58" s="537"/>
      <c r="AM58" s="537"/>
      <c r="AN58" s="537"/>
      <c r="AO58" s="537"/>
      <c r="AP58" s="1087"/>
      <c r="AQ58" s="1088"/>
    </row>
    <row r="59" spans="2:43" x14ac:dyDescent="0.25">
      <c r="B59" s="53"/>
      <c r="C59" s="885" t="str">
        <f>+'F3.1'!B54</f>
        <v>Emergency Restoration System</v>
      </c>
      <c r="D59" s="537"/>
      <c r="E59" s="891">
        <f>IF('F3.1'!D54="","",'F3.1'!D54)</f>
        <v>25</v>
      </c>
      <c r="F59" s="890">
        <f>IF('F3.1'!E54="","",'F3.1'!E54)</f>
        <v>45593</v>
      </c>
      <c r="G59" s="537"/>
      <c r="H59" s="892" t="s">
        <v>1051</v>
      </c>
      <c r="I59" s="537"/>
      <c r="J59" s="513" t="str">
        <f>+'F3.1'!G54</f>
        <v>2025-26</v>
      </c>
      <c r="K59" s="537"/>
      <c r="L59" s="513" t="str">
        <f>+'F3.1'!J54</f>
        <v>2025-26</v>
      </c>
      <c r="M59" s="537"/>
      <c r="N59" s="537"/>
      <c r="O59" s="537"/>
      <c r="P59" s="537"/>
      <c r="Q59" s="537"/>
      <c r="R59" s="537"/>
      <c r="S59" s="894">
        <f>+'F3.1'!M54</f>
        <v>8.9600000000000009</v>
      </c>
      <c r="T59" s="894"/>
      <c r="U59" s="894"/>
      <c r="V59" s="894"/>
      <c r="W59" s="537"/>
      <c r="X59" s="537"/>
      <c r="Y59" s="537"/>
      <c r="Z59" s="537"/>
      <c r="AA59" s="537"/>
      <c r="AB59" s="893">
        <v>1</v>
      </c>
      <c r="AC59" s="537"/>
      <c r="AD59" s="537"/>
      <c r="AE59" s="537"/>
      <c r="AF59" s="537"/>
      <c r="AG59" s="537"/>
      <c r="AH59" s="537"/>
      <c r="AI59" s="537"/>
      <c r="AJ59" s="537"/>
      <c r="AK59" s="894">
        <f t="shared" ref="AK59:AK65" si="0">+S59*AB59</f>
        <v>8.9600000000000009</v>
      </c>
      <c r="AL59" s="537"/>
      <c r="AM59" s="537"/>
      <c r="AN59" s="537"/>
      <c r="AO59" s="537"/>
      <c r="AP59" s="1087"/>
      <c r="AQ59" s="1088"/>
    </row>
    <row r="60" spans="2:43" x14ac:dyDescent="0.25">
      <c r="B60" s="53"/>
      <c r="C60" s="885" t="str">
        <f>+'F3.1'!B55</f>
        <v>Tower Footing Resistance Meter</v>
      </c>
      <c r="D60" s="537"/>
      <c r="E60" s="891">
        <f>IF('F3.1'!D55="","",'F3.1'!D55)</f>
        <v>26</v>
      </c>
      <c r="F60" s="890">
        <f>IF('F3.1'!E55="","",'F3.1'!E55)</f>
        <v>45593</v>
      </c>
      <c r="G60" s="537"/>
      <c r="H60" s="892" t="s">
        <v>1051</v>
      </c>
      <c r="I60" s="537"/>
      <c r="J60" s="513" t="str">
        <f>+'F3.1'!G55</f>
        <v>2025-26</v>
      </c>
      <c r="K60" s="537"/>
      <c r="L60" s="513" t="str">
        <f>+'F3.1'!J55</f>
        <v>2025-26</v>
      </c>
      <c r="M60" s="537"/>
      <c r="N60" s="537"/>
      <c r="O60" s="537"/>
      <c r="P60" s="537"/>
      <c r="Q60" s="537"/>
      <c r="R60" s="537"/>
      <c r="S60" s="894">
        <f>+'F3.1'!M55</f>
        <v>0.11</v>
      </c>
      <c r="T60" s="894"/>
      <c r="U60" s="894"/>
      <c r="V60" s="894"/>
      <c r="W60" s="537"/>
      <c r="X60" s="537"/>
      <c r="Y60" s="537"/>
      <c r="Z60" s="537"/>
      <c r="AA60" s="537"/>
      <c r="AB60" s="893">
        <v>1</v>
      </c>
      <c r="AC60" s="537"/>
      <c r="AD60" s="537"/>
      <c r="AE60" s="537"/>
      <c r="AF60" s="537"/>
      <c r="AG60" s="537"/>
      <c r="AH60" s="537"/>
      <c r="AI60" s="537"/>
      <c r="AJ60" s="537"/>
      <c r="AK60" s="894">
        <f t="shared" si="0"/>
        <v>0.11</v>
      </c>
      <c r="AL60" s="537"/>
      <c r="AM60" s="537"/>
      <c r="AN60" s="537"/>
      <c r="AO60" s="537"/>
      <c r="AP60" s="1087"/>
      <c r="AQ60" s="1088"/>
    </row>
    <row r="61" spans="2:43" x14ac:dyDescent="0.25">
      <c r="B61" s="53"/>
      <c r="C61" s="885" t="str">
        <f>+'F3.1'!B56</f>
        <v>Binoculars</v>
      </c>
      <c r="D61" s="537"/>
      <c r="E61" s="891" t="str">
        <f>IF('F3.1'!D56="","",'F3.1'!D56)</f>
        <v/>
      </c>
      <c r="F61" s="890" t="str">
        <f>IF('F3.1'!E56="","",'F3.1'!E56)</f>
        <v/>
      </c>
      <c r="G61" s="537"/>
      <c r="H61" s="892" t="s">
        <v>1051</v>
      </c>
      <c r="I61" s="537"/>
      <c r="J61" s="513" t="str">
        <f>+'F3.1'!G56</f>
        <v>2025-26</v>
      </c>
      <c r="K61" s="537"/>
      <c r="L61" s="513" t="str">
        <f>+'F3.1'!J56</f>
        <v>2025-26</v>
      </c>
      <c r="M61" s="537"/>
      <c r="N61" s="537"/>
      <c r="O61" s="537"/>
      <c r="P61" s="537"/>
      <c r="Q61" s="537"/>
      <c r="R61" s="537"/>
      <c r="S61" s="894">
        <f>+'F3.1'!M56</f>
        <v>5.0000000000000001E-3</v>
      </c>
      <c r="T61" s="894"/>
      <c r="U61" s="894"/>
      <c r="V61" s="894"/>
      <c r="W61" s="537"/>
      <c r="X61" s="537"/>
      <c r="Y61" s="537"/>
      <c r="Z61" s="537"/>
      <c r="AA61" s="537"/>
      <c r="AB61" s="893">
        <v>1</v>
      </c>
      <c r="AC61" s="537"/>
      <c r="AD61" s="537"/>
      <c r="AE61" s="537"/>
      <c r="AF61" s="537"/>
      <c r="AG61" s="537"/>
      <c r="AH61" s="537"/>
      <c r="AI61" s="537"/>
      <c r="AJ61" s="537"/>
      <c r="AK61" s="894">
        <f t="shared" si="0"/>
        <v>5.0000000000000001E-3</v>
      </c>
      <c r="AL61" s="537"/>
      <c r="AM61" s="537"/>
      <c r="AN61" s="537"/>
      <c r="AO61" s="537"/>
      <c r="AP61" s="1087"/>
      <c r="AQ61" s="1088"/>
    </row>
    <row r="62" spans="2:43" x14ac:dyDescent="0.25">
      <c r="B62" s="53"/>
      <c r="C62" s="885" t="str">
        <f>+'F3.1'!B57</f>
        <v>Laptop</v>
      </c>
      <c r="D62" s="537"/>
      <c r="E62" s="891" t="str">
        <f>IF('F3.1'!D57="","",'F3.1'!D57)</f>
        <v/>
      </c>
      <c r="F62" s="890" t="str">
        <f>IF('F3.1'!E57="","",'F3.1'!E57)</f>
        <v/>
      </c>
      <c r="G62" s="537"/>
      <c r="H62" s="892" t="s">
        <v>1051</v>
      </c>
      <c r="I62" s="537"/>
      <c r="J62" s="513" t="str">
        <f>+'F3.1'!G57</f>
        <v>2025-26</v>
      </c>
      <c r="K62" s="537"/>
      <c r="L62" s="513" t="str">
        <f>+'F3.1'!J57</f>
        <v>2025-26</v>
      </c>
      <c r="M62" s="537"/>
      <c r="N62" s="537"/>
      <c r="O62" s="537"/>
      <c r="P62" s="537"/>
      <c r="Q62" s="537"/>
      <c r="R62" s="537"/>
      <c r="S62" s="894">
        <f>+'F3.1'!M57</f>
        <v>0.03</v>
      </c>
      <c r="T62" s="894"/>
      <c r="U62" s="894"/>
      <c r="V62" s="894"/>
      <c r="W62" s="537"/>
      <c r="X62" s="537"/>
      <c r="Y62" s="537"/>
      <c r="Z62" s="537"/>
      <c r="AA62" s="537"/>
      <c r="AB62" s="893">
        <v>1</v>
      </c>
      <c r="AC62" s="537"/>
      <c r="AD62" s="537"/>
      <c r="AE62" s="537"/>
      <c r="AF62" s="537"/>
      <c r="AG62" s="537"/>
      <c r="AH62" s="537"/>
      <c r="AI62" s="537"/>
      <c r="AJ62" s="537"/>
      <c r="AK62" s="894">
        <f t="shared" si="0"/>
        <v>0.03</v>
      </c>
      <c r="AL62" s="537"/>
      <c r="AM62" s="537"/>
      <c r="AN62" s="537"/>
      <c r="AO62" s="537"/>
      <c r="AP62" s="1087"/>
      <c r="AQ62" s="1088"/>
    </row>
    <row r="63" spans="2:43" x14ac:dyDescent="0.25">
      <c r="B63" s="53"/>
      <c r="C63" s="885" t="str">
        <f>+'F3.1'!B58</f>
        <v>Travelling wave Fault location system</v>
      </c>
      <c r="D63" s="537"/>
      <c r="E63" s="891">
        <f>IF('F3.1'!D58="","",'F3.1'!D58)</f>
        <v>27</v>
      </c>
      <c r="F63" s="890">
        <f>IF('F3.1'!E58="","",'F3.1'!E58)</f>
        <v>45593</v>
      </c>
      <c r="G63" s="537"/>
      <c r="H63" s="892" t="s">
        <v>1051</v>
      </c>
      <c r="I63" s="537"/>
      <c r="J63" s="513" t="str">
        <f>+'F3.1'!G58</f>
        <v>2025-26</v>
      </c>
      <c r="K63" s="537"/>
      <c r="L63" s="513" t="str">
        <f>+'F3.1'!J58</f>
        <v>2025-26</v>
      </c>
      <c r="M63" s="537"/>
      <c r="N63" s="537"/>
      <c r="O63" s="537"/>
      <c r="P63" s="537"/>
      <c r="Q63" s="537"/>
      <c r="R63" s="537"/>
      <c r="S63" s="894">
        <f>+'F3.1'!M58</f>
        <v>0.87</v>
      </c>
      <c r="T63" s="894"/>
      <c r="U63" s="894"/>
      <c r="V63" s="894"/>
      <c r="W63" s="537"/>
      <c r="X63" s="537"/>
      <c r="Y63" s="537"/>
      <c r="Z63" s="537"/>
      <c r="AA63" s="537"/>
      <c r="AB63" s="893">
        <v>1</v>
      </c>
      <c r="AC63" s="537"/>
      <c r="AD63" s="537"/>
      <c r="AE63" s="537"/>
      <c r="AF63" s="537"/>
      <c r="AG63" s="537"/>
      <c r="AH63" s="537"/>
      <c r="AI63" s="537"/>
      <c r="AJ63" s="537"/>
      <c r="AK63" s="894">
        <f t="shared" si="0"/>
        <v>0.87</v>
      </c>
      <c r="AL63" s="537"/>
      <c r="AM63" s="537"/>
      <c r="AN63" s="537"/>
      <c r="AO63" s="537"/>
      <c r="AP63" s="1087"/>
      <c r="AQ63" s="1088"/>
    </row>
    <row r="64" spans="2:43" x14ac:dyDescent="0.25">
      <c r="B64" s="53"/>
      <c r="C64" s="885" t="str">
        <f>+'F3.1'!B59</f>
        <v>Solar Roof shade for office building</v>
      </c>
      <c r="D64" s="537"/>
      <c r="E64" s="891">
        <f>IF('F3.1'!D59="","",'F3.1'!D59)</f>
        <v>28</v>
      </c>
      <c r="F64" s="890">
        <f>IF('F3.1'!E59="","",'F3.1'!E59)</f>
        <v>45593</v>
      </c>
      <c r="G64" s="537"/>
      <c r="H64" s="892" t="s">
        <v>1051</v>
      </c>
      <c r="I64" s="537"/>
      <c r="J64" s="513" t="str">
        <f>+'F3.1'!G59</f>
        <v>2025-26</v>
      </c>
      <c r="K64" s="537"/>
      <c r="L64" s="513" t="str">
        <f>+'F3.1'!J59</f>
        <v>2025-26</v>
      </c>
      <c r="M64" s="537"/>
      <c r="N64" s="537"/>
      <c r="O64" s="537"/>
      <c r="P64" s="537"/>
      <c r="Q64" s="537"/>
      <c r="R64" s="537"/>
      <c r="S64" s="894">
        <f>+'F3.1'!M59</f>
        <v>0.17</v>
      </c>
      <c r="T64" s="894"/>
      <c r="U64" s="894"/>
      <c r="V64" s="894"/>
      <c r="W64" s="537"/>
      <c r="X64" s="537"/>
      <c r="Y64" s="537"/>
      <c r="Z64" s="537"/>
      <c r="AA64" s="537"/>
      <c r="AB64" s="893">
        <v>1</v>
      </c>
      <c r="AC64" s="537"/>
      <c r="AD64" s="537"/>
      <c r="AE64" s="537"/>
      <c r="AF64" s="537"/>
      <c r="AG64" s="537"/>
      <c r="AH64" s="537"/>
      <c r="AI64" s="537"/>
      <c r="AJ64" s="537"/>
      <c r="AK64" s="894">
        <f t="shared" si="0"/>
        <v>0.17</v>
      </c>
      <c r="AL64" s="537"/>
      <c r="AM64" s="537"/>
      <c r="AN64" s="537"/>
      <c r="AO64" s="537"/>
      <c r="AP64" s="1087"/>
      <c r="AQ64" s="1088"/>
    </row>
    <row r="65" spans="2:43" x14ac:dyDescent="0.25">
      <c r="B65" s="53"/>
      <c r="C65" s="885" t="str">
        <f>+'F3.1'!B60</f>
        <v>Face recognition attendance machines</v>
      </c>
      <c r="D65" s="537"/>
      <c r="E65" s="891" t="str">
        <f>IF('F3.1'!D60="","",'F3.1'!D60)</f>
        <v/>
      </c>
      <c r="F65" s="890" t="str">
        <f>IF('F3.1'!E60="","",'F3.1'!E60)</f>
        <v/>
      </c>
      <c r="G65" s="537"/>
      <c r="H65" s="892" t="s">
        <v>1051</v>
      </c>
      <c r="I65" s="537"/>
      <c r="J65" s="513" t="str">
        <f>+'F3.1'!G60</f>
        <v>2025-26</v>
      </c>
      <c r="K65" s="537"/>
      <c r="L65" s="513" t="str">
        <f>+'F3.1'!J60</f>
        <v>2025-26</v>
      </c>
      <c r="M65" s="537"/>
      <c r="N65" s="537"/>
      <c r="O65" s="537"/>
      <c r="P65" s="537"/>
      <c r="Q65" s="537"/>
      <c r="R65" s="537"/>
      <c r="S65" s="894">
        <f>+'F3.1'!M60</f>
        <v>7.4999999999999997E-3</v>
      </c>
      <c r="T65" s="894"/>
      <c r="U65" s="894"/>
      <c r="V65" s="894"/>
      <c r="W65" s="537"/>
      <c r="X65" s="537"/>
      <c r="Y65" s="537"/>
      <c r="Z65" s="537"/>
      <c r="AA65" s="537"/>
      <c r="AB65" s="893">
        <v>1</v>
      </c>
      <c r="AC65" s="537"/>
      <c r="AD65" s="537"/>
      <c r="AE65" s="537"/>
      <c r="AF65" s="537"/>
      <c r="AG65" s="537"/>
      <c r="AH65" s="537"/>
      <c r="AI65" s="537"/>
      <c r="AJ65" s="537"/>
      <c r="AK65" s="894">
        <f t="shared" si="0"/>
        <v>7.4999999999999997E-3</v>
      </c>
      <c r="AL65" s="537"/>
      <c r="AM65" s="537"/>
      <c r="AN65" s="537"/>
      <c r="AO65" s="537"/>
      <c r="AP65" s="1087"/>
      <c r="AQ65" s="1088"/>
    </row>
    <row r="66" spans="2:43" x14ac:dyDescent="0.25">
      <c r="B66" s="53"/>
      <c r="C66" s="45"/>
      <c r="D66" s="537"/>
      <c r="E66" s="891"/>
      <c r="F66" s="537"/>
      <c r="G66" s="537"/>
      <c r="H66" s="537"/>
      <c r="I66" s="537"/>
      <c r="J66" s="537"/>
      <c r="K66" s="537"/>
      <c r="L66" s="537"/>
      <c r="M66" s="537"/>
      <c r="N66" s="537"/>
      <c r="O66" s="537"/>
      <c r="P66" s="537"/>
      <c r="Q66" s="537"/>
      <c r="R66" s="537"/>
      <c r="S66" s="894"/>
      <c r="T66" s="894"/>
      <c r="U66" s="894"/>
      <c r="V66" s="894"/>
      <c r="W66" s="537"/>
      <c r="X66" s="537"/>
      <c r="Y66" s="537"/>
      <c r="Z66" s="537"/>
      <c r="AA66" s="537"/>
      <c r="AB66" s="537"/>
      <c r="AC66" s="537"/>
      <c r="AD66" s="537"/>
      <c r="AE66" s="537"/>
      <c r="AF66" s="537"/>
      <c r="AG66" s="537"/>
      <c r="AH66" s="537"/>
      <c r="AI66" s="537"/>
      <c r="AJ66" s="537"/>
      <c r="AK66" s="537"/>
      <c r="AL66" s="537"/>
      <c r="AM66" s="537"/>
      <c r="AN66" s="537"/>
      <c r="AO66" s="537"/>
      <c r="AP66" s="1087"/>
      <c r="AQ66" s="1088"/>
    </row>
    <row r="67" spans="2:43" x14ac:dyDescent="0.25">
      <c r="B67" s="53"/>
      <c r="C67" s="103" t="s">
        <v>88</v>
      </c>
      <c r="D67" s="537"/>
      <c r="E67" s="891"/>
      <c r="F67" s="537"/>
      <c r="G67" s="537"/>
      <c r="H67" s="537"/>
      <c r="I67" s="537"/>
      <c r="J67" s="537"/>
      <c r="K67" s="537"/>
      <c r="L67" s="537"/>
      <c r="M67" s="537"/>
      <c r="N67" s="537"/>
      <c r="O67" s="537"/>
      <c r="P67" s="537"/>
      <c r="Q67" s="537"/>
      <c r="R67" s="537"/>
      <c r="S67" s="894"/>
      <c r="T67" s="894"/>
      <c r="U67" s="894"/>
      <c r="V67" s="894"/>
      <c r="W67" s="537"/>
      <c r="X67" s="537"/>
      <c r="Y67" s="537"/>
      <c r="Z67" s="537"/>
      <c r="AA67" s="537"/>
      <c r="AB67" s="537"/>
      <c r="AC67" s="537"/>
      <c r="AD67" s="537"/>
      <c r="AE67" s="537"/>
      <c r="AF67" s="537"/>
      <c r="AG67" s="537"/>
      <c r="AH67" s="537"/>
      <c r="AI67" s="537"/>
      <c r="AJ67" s="537"/>
      <c r="AK67" s="537"/>
      <c r="AL67" s="537"/>
      <c r="AM67" s="537"/>
      <c r="AN67" s="537"/>
      <c r="AO67" s="537"/>
      <c r="AP67" s="1087"/>
      <c r="AQ67" s="1088"/>
    </row>
    <row r="68" spans="2:43" x14ac:dyDescent="0.25">
      <c r="B68" s="53"/>
      <c r="C68" s="103" t="s">
        <v>302</v>
      </c>
      <c r="D68" s="537"/>
      <c r="E68" s="891"/>
      <c r="F68" s="537"/>
      <c r="G68" s="537"/>
      <c r="H68" s="537"/>
      <c r="I68" s="537"/>
      <c r="J68" s="537"/>
      <c r="K68" s="537"/>
      <c r="L68" s="537"/>
      <c r="M68" s="537"/>
      <c r="N68" s="537"/>
      <c r="O68" s="537"/>
      <c r="P68" s="537"/>
      <c r="Q68" s="537"/>
      <c r="R68" s="537"/>
      <c r="S68" s="894"/>
      <c r="T68" s="894"/>
      <c r="U68" s="894"/>
      <c r="V68" s="894"/>
      <c r="W68" s="537"/>
      <c r="X68" s="537"/>
      <c r="Y68" s="537"/>
      <c r="Z68" s="537"/>
      <c r="AA68" s="537"/>
      <c r="AB68" s="537"/>
      <c r="AC68" s="537"/>
      <c r="AD68" s="537"/>
      <c r="AE68" s="537"/>
      <c r="AF68" s="537"/>
      <c r="AG68" s="537"/>
      <c r="AH68" s="537"/>
      <c r="AI68" s="537"/>
      <c r="AJ68" s="537"/>
      <c r="AK68" s="537"/>
      <c r="AL68" s="537"/>
      <c r="AM68" s="537"/>
      <c r="AN68" s="537"/>
      <c r="AO68" s="537"/>
      <c r="AP68" s="1087"/>
      <c r="AQ68" s="1088"/>
    </row>
    <row r="69" spans="2:43" x14ac:dyDescent="0.25">
      <c r="B69" s="53"/>
      <c r="C69" s="104" t="s">
        <v>303</v>
      </c>
      <c r="D69" s="537"/>
      <c r="E69" s="891"/>
      <c r="F69" s="537"/>
      <c r="G69" s="537"/>
      <c r="H69" s="537"/>
      <c r="I69" s="537"/>
      <c r="J69" s="537"/>
      <c r="K69" s="537"/>
      <c r="L69" s="537"/>
      <c r="M69" s="537"/>
      <c r="N69" s="537"/>
      <c r="O69" s="537"/>
      <c r="P69" s="537"/>
      <c r="Q69" s="537"/>
      <c r="R69" s="537"/>
      <c r="S69" s="894"/>
      <c r="T69" s="894"/>
      <c r="U69" s="894"/>
      <c r="V69" s="894"/>
      <c r="W69" s="537"/>
      <c r="X69" s="537"/>
      <c r="Y69" s="537"/>
      <c r="Z69" s="537"/>
      <c r="AA69" s="537"/>
      <c r="AB69" s="537"/>
      <c r="AC69" s="537"/>
      <c r="AD69" s="537"/>
      <c r="AE69" s="537"/>
      <c r="AF69" s="537"/>
      <c r="AG69" s="537"/>
      <c r="AH69" s="537"/>
      <c r="AI69" s="537"/>
      <c r="AJ69" s="537"/>
      <c r="AK69" s="537"/>
      <c r="AL69" s="537"/>
      <c r="AM69" s="537"/>
      <c r="AN69" s="537"/>
      <c r="AO69" s="537"/>
      <c r="AP69" s="1087"/>
      <c r="AQ69" s="1088"/>
    </row>
    <row r="70" spans="2:43" x14ac:dyDescent="0.25">
      <c r="B70" s="53"/>
      <c r="C70" s="104" t="s">
        <v>305</v>
      </c>
      <c r="D70" s="537"/>
      <c r="E70" s="891"/>
      <c r="F70" s="537"/>
      <c r="G70" s="537"/>
      <c r="H70" s="537"/>
      <c r="I70" s="537"/>
      <c r="J70" s="537"/>
      <c r="K70" s="537"/>
      <c r="L70" s="537"/>
      <c r="M70" s="537"/>
      <c r="N70" s="537"/>
      <c r="O70" s="537"/>
      <c r="P70" s="537"/>
      <c r="Q70" s="537"/>
      <c r="R70" s="537"/>
      <c r="S70" s="894"/>
      <c r="T70" s="894"/>
      <c r="U70" s="894"/>
      <c r="V70" s="894"/>
      <c r="W70" s="537"/>
      <c r="X70" s="537"/>
      <c r="Y70" s="537"/>
      <c r="Z70" s="537"/>
      <c r="AA70" s="537"/>
      <c r="AB70" s="537"/>
      <c r="AC70" s="537"/>
      <c r="AD70" s="537"/>
      <c r="AE70" s="537"/>
      <c r="AF70" s="537"/>
      <c r="AG70" s="537"/>
      <c r="AH70" s="537"/>
      <c r="AI70" s="537"/>
      <c r="AJ70" s="537"/>
      <c r="AK70" s="537"/>
      <c r="AL70" s="537"/>
      <c r="AM70" s="537"/>
      <c r="AN70" s="537"/>
      <c r="AO70" s="537"/>
      <c r="AP70" s="1087"/>
      <c r="AQ70" s="1088"/>
    </row>
    <row r="71" spans="2:43" x14ac:dyDescent="0.25">
      <c r="B71" s="53"/>
      <c r="C71" s="53" t="s">
        <v>1046</v>
      </c>
      <c r="D71" s="537"/>
      <c r="E71" s="891"/>
      <c r="F71" s="537"/>
      <c r="G71" s="537"/>
      <c r="H71" s="537"/>
      <c r="I71" s="537"/>
      <c r="J71" s="537"/>
      <c r="K71" s="537"/>
      <c r="L71" s="537"/>
      <c r="M71" s="537"/>
      <c r="N71" s="537"/>
      <c r="O71" s="537"/>
      <c r="P71" s="537"/>
      <c r="Q71" s="537"/>
      <c r="R71" s="537"/>
      <c r="S71" s="894"/>
      <c r="T71" s="894"/>
      <c r="U71" s="894"/>
      <c r="V71" s="894"/>
      <c r="W71" s="537"/>
      <c r="X71" s="537"/>
      <c r="Y71" s="537"/>
      <c r="Z71" s="537"/>
      <c r="AA71" s="537"/>
      <c r="AB71" s="537"/>
      <c r="AC71" s="537"/>
      <c r="AD71" s="537"/>
      <c r="AE71" s="537"/>
      <c r="AF71" s="537"/>
      <c r="AG71" s="537"/>
      <c r="AH71" s="537"/>
      <c r="AI71" s="537"/>
      <c r="AJ71" s="537"/>
      <c r="AK71" s="537"/>
      <c r="AL71" s="537"/>
      <c r="AM71" s="537"/>
      <c r="AN71" s="537"/>
      <c r="AO71" s="537"/>
      <c r="AP71" s="1087"/>
      <c r="AQ71" s="1088"/>
    </row>
    <row r="72" spans="2:43" x14ac:dyDescent="0.25">
      <c r="B72" s="53"/>
      <c r="C72" s="885" t="str">
        <f>+'F3.1'!B67</f>
        <v>Control switching device</v>
      </c>
      <c r="D72" s="537"/>
      <c r="E72" s="891">
        <f>IF('F3.1'!D67="","",'F3.1'!D67)</f>
        <v>29</v>
      </c>
      <c r="F72" s="890">
        <f>IF('F3.1'!E67="","",'F3.1'!E67)</f>
        <v>45593</v>
      </c>
      <c r="G72" s="537"/>
      <c r="H72" s="892" t="s">
        <v>1051</v>
      </c>
      <c r="I72" s="537"/>
      <c r="J72" s="513" t="str">
        <f>+'F3.1'!G67</f>
        <v>2026-27</v>
      </c>
      <c r="K72" s="537"/>
      <c r="L72" s="513" t="str">
        <f>+'F3.1'!J67</f>
        <v>2026-27</v>
      </c>
      <c r="M72" s="537"/>
      <c r="N72" s="537"/>
      <c r="O72" s="537"/>
      <c r="P72" s="537"/>
      <c r="Q72" s="537"/>
      <c r="R72" s="537"/>
      <c r="S72" s="894"/>
      <c r="T72" s="894">
        <f>+'F3.1'!M67</f>
        <v>0.4</v>
      </c>
      <c r="U72" s="894"/>
      <c r="V72" s="894"/>
      <c r="W72" s="537"/>
      <c r="X72" s="537"/>
      <c r="Y72" s="537"/>
      <c r="Z72" s="537"/>
      <c r="AA72" s="537"/>
      <c r="AB72" s="537"/>
      <c r="AC72" s="893">
        <v>1</v>
      </c>
      <c r="AD72" s="537"/>
      <c r="AE72" s="537"/>
      <c r="AF72" s="537"/>
      <c r="AG72" s="537"/>
      <c r="AH72" s="537"/>
      <c r="AI72" s="537"/>
      <c r="AJ72" s="537"/>
      <c r="AK72" s="537"/>
      <c r="AL72" s="894">
        <f t="shared" ref="AL72" si="1">+T72*AC72</f>
        <v>0.4</v>
      </c>
      <c r="AM72" s="537"/>
      <c r="AN72" s="537"/>
      <c r="AO72" s="537"/>
      <c r="AP72" s="1087"/>
      <c r="AQ72" s="1088"/>
    </row>
    <row r="73" spans="2:43" x14ac:dyDescent="0.25">
      <c r="B73" s="53"/>
      <c r="C73" s="45"/>
      <c r="D73" s="537"/>
      <c r="E73" s="891"/>
      <c r="F73" s="537"/>
      <c r="G73" s="537"/>
      <c r="H73" s="537"/>
      <c r="I73" s="537"/>
      <c r="J73" s="537"/>
      <c r="K73" s="537"/>
      <c r="L73" s="537"/>
      <c r="M73" s="537"/>
      <c r="N73" s="537"/>
      <c r="O73" s="537"/>
      <c r="P73" s="537"/>
      <c r="Q73" s="537"/>
      <c r="R73" s="537"/>
      <c r="S73" s="894"/>
      <c r="T73" s="894"/>
      <c r="U73" s="894"/>
      <c r="V73" s="894"/>
      <c r="W73" s="537"/>
      <c r="X73" s="537"/>
      <c r="Y73" s="537"/>
      <c r="Z73" s="537"/>
      <c r="AA73" s="537"/>
      <c r="AB73" s="537"/>
      <c r="AC73" s="537"/>
      <c r="AD73" s="537"/>
      <c r="AE73" s="537"/>
      <c r="AF73" s="537"/>
      <c r="AG73" s="537"/>
      <c r="AH73" s="537"/>
      <c r="AI73" s="537"/>
      <c r="AJ73" s="537"/>
      <c r="AK73" s="537"/>
      <c r="AL73" s="537"/>
      <c r="AM73" s="537"/>
      <c r="AN73" s="537"/>
      <c r="AO73" s="537"/>
      <c r="AP73" s="1087"/>
      <c r="AQ73" s="1088"/>
    </row>
    <row r="74" spans="2:43" x14ac:dyDescent="0.25">
      <c r="B74" s="53"/>
      <c r="C74" s="103" t="s">
        <v>89</v>
      </c>
      <c r="D74" s="537"/>
      <c r="E74" s="891"/>
      <c r="F74" s="537"/>
      <c r="G74" s="537"/>
      <c r="H74" s="537"/>
      <c r="I74" s="537"/>
      <c r="J74" s="537"/>
      <c r="K74" s="537"/>
      <c r="L74" s="537"/>
      <c r="M74" s="537"/>
      <c r="N74" s="537"/>
      <c r="O74" s="537"/>
      <c r="P74" s="537"/>
      <c r="Q74" s="537"/>
      <c r="R74" s="537"/>
      <c r="S74" s="894"/>
      <c r="T74" s="894"/>
      <c r="U74" s="894"/>
      <c r="V74" s="894"/>
      <c r="W74" s="537"/>
      <c r="X74" s="537"/>
      <c r="Y74" s="537"/>
      <c r="Z74" s="537"/>
      <c r="AA74" s="537"/>
      <c r="AB74" s="537"/>
      <c r="AC74" s="537"/>
      <c r="AD74" s="537"/>
      <c r="AE74" s="537"/>
      <c r="AF74" s="537"/>
      <c r="AG74" s="537"/>
      <c r="AH74" s="537"/>
      <c r="AI74" s="537"/>
      <c r="AJ74" s="537"/>
      <c r="AK74" s="537"/>
      <c r="AL74" s="537"/>
      <c r="AM74" s="537"/>
      <c r="AN74" s="537"/>
      <c r="AO74" s="537"/>
      <c r="AP74" s="1087"/>
      <c r="AQ74" s="1088"/>
    </row>
    <row r="75" spans="2:43" x14ac:dyDescent="0.25">
      <c r="B75" s="53"/>
      <c r="C75" s="103" t="s">
        <v>302</v>
      </c>
      <c r="D75" s="537"/>
      <c r="E75" s="891"/>
      <c r="F75" s="537"/>
      <c r="G75" s="537"/>
      <c r="H75" s="537"/>
      <c r="I75" s="537"/>
      <c r="J75" s="537"/>
      <c r="K75" s="537"/>
      <c r="L75" s="537"/>
      <c r="M75" s="537"/>
      <c r="N75" s="537"/>
      <c r="O75" s="537"/>
      <c r="P75" s="537"/>
      <c r="Q75" s="537"/>
      <c r="R75" s="537"/>
      <c r="S75" s="894"/>
      <c r="T75" s="894"/>
      <c r="U75" s="894"/>
      <c r="V75" s="894"/>
      <c r="W75" s="537"/>
      <c r="X75" s="537"/>
      <c r="Y75" s="537"/>
      <c r="Z75" s="537"/>
      <c r="AA75" s="537"/>
      <c r="AB75" s="537"/>
      <c r="AC75" s="537"/>
      <c r="AD75" s="537"/>
      <c r="AE75" s="537"/>
      <c r="AF75" s="537"/>
      <c r="AG75" s="537"/>
      <c r="AH75" s="537"/>
      <c r="AI75" s="537"/>
      <c r="AJ75" s="537"/>
      <c r="AK75" s="537"/>
      <c r="AL75" s="537"/>
      <c r="AM75" s="537"/>
      <c r="AN75" s="537"/>
      <c r="AO75" s="537"/>
      <c r="AP75" s="1087"/>
      <c r="AQ75" s="1088"/>
    </row>
    <row r="76" spans="2:43" x14ac:dyDescent="0.25">
      <c r="B76" s="53"/>
      <c r="C76" s="104" t="s">
        <v>303</v>
      </c>
      <c r="D76" s="537"/>
      <c r="E76" s="891"/>
      <c r="F76" s="537"/>
      <c r="G76" s="537"/>
      <c r="H76" s="537"/>
      <c r="I76" s="537"/>
      <c r="J76" s="537"/>
      <c r="K76" s="537"/>
      <c r="L76" s="537"/>
      <c r="M76" s="537"/>
      <c r="N76" s="537"/>
      <c r="O76" s="537"/>
      <c r="P76" s="537"/>
      <c r="Q76" s="537"/>
      <c r="R76" s="537"/>
      <c r="S76" s="894"/>
      <c r="T76" s="894"/>
      <c r="U76" s="894"/>
      <c r="V76" s="894"/>
      <c r="W76" s="537"/>
      <c r="X76" s="537"/>
      <c r="Y76" s="537"/>
      <c r="Z76" s="537"/>
      <c r="AA76" s="537"/>
      <c r="AB76" s="537"/>
      <c r="AC76" s="537"/>
      <c r="AD76" s="537"/>
      <c r="AE76" s="537"/>
      <c r="AF76" s="537"/>
      <c r="AG76" s="537"/>
      <c r="AH76" s="537"/>
      <c r="AI76" s="537"/>
      <c r="AJ76" s="537"/>
      <c r="AK76" s="537"/>
      <c r="AL76" s="537"/>
      <c r="AM76" s="537"/>
      <c r="AN76" s="537"/>
      <c r="AO76" s="537"/>
      <c r="AP76" s="1087"/>
      <c r="AQ76" s="1088"/>
    </row>
    <row r="77" spans="2:43" x14ac:dyDescent="0.25">
      <c r="B77" s="53"/>
      <c r="C77" s="104" t="s">
        <v>305</v>
      </c>
      <c r="D77" s="537"/>
      <c r="E77" s="891"/>
      <c r="F77" s="537"/>
      <c r="G77" s="537"/>
      <c r="H77" s="537"/>
      <c r="I77" s="537"/>
      <c r="J77" s="537"/>
      <c r="K77" s="537"/>
      <c r="L77" s="537"/>
      <c r="M77" s="537"/>
      <c r="N77" s="537"/>
      <c r="O77" s="537"/>
      <c r="P77" s="537"/>
      <c r="Q77" s="537"/>
      <c r="R77" s="537"/>
      <c r="S77" s="894"/>
      <c r="T77" s="894"/>
      <c r="U77" s="894"/>
      <c r="V77" s="894"/>
      <c r="W77" s="537"/>
      <c r="X77" s="537"/>
      <c r="Y77" s="537"/>
      <c r="Z77" s="537"/>
      <c r="AA77" s="537"/>
      <c r="AB77" s="537"/>
      <c r="AC77" s="537"/>
      <c r="AD77" s="537"/>
      <c r="AE77" s="537"/>
      <c r="AF77" s="537"/>
      <c r="AG77" s="537"/>
      <c r="AH77" s="537"/>
      <c r="AI77" s="537"/>
      <c r="AJ77" s="537"/>
      <c r="AK77" s="537"/>
      <c r="AL77" s="537"/>
      <c r="AM77" s="537"/>
      <c r="AN77" s="537"/>
      <c r="AO77" s="537"/>
      <c r="AP77" s="1087"/>
      <c r="AQ77" s="1088"/>
    </row>
    <row r="78" spans="2:43" x14ac:dyDescent="0.25">
      <c r="B78" s="53"/>
      <c r="C78" s="53" t="s">
        <v>1046</v>
      </c>
      <c r="D78" s="537"/>
      <c r="E78" s="891"/>
      <c r="F78" s="537"/>
      <c r="G78" s="537"/>
      <c r="H78" s="537"/>
      <c r="I78" s="537"/>
      <c r="J78" s="537"/>
      <c r="K78" s="537"/>
      <c r="L78" s="537"/>
      <c r="M78" s="537"/>
      <c r="N78" s="537"/>
      <c r="O78" s="537"/>
      <c r="P78" s="537"/>
      <c r="Q78" s="537"/>
      <c r="R78" s="537"/>
      <c r="S78" s="894"/>
      <c r="T78" s="894"/>
      <c r="U78" s="894"/>
      <c r="V78" s="894"/>
      <c r="W78" s="537"/>
      <c r="X78" s="537"/>
      <c r="Y78" s="537"/>
      <c r="Z78" s="537"/>
      <c r="AA78" s="537"/>
      <c r="AB78" s="537"/>
      <c r="AC78" s="537"/>
      <c r="AD78" s="537"/>
      <c r="AE78" s="537"/>
      <c r="AF78" s="537"/>
      <c r="AG78" s="537"/>
      <c r="AH78" s="537"/>
      <c r="AI78" s="537"/>
      <c r="AJ78" s="537"/>
      <c r="AK78" s="537"/>
      <c r="AL78" s="537"/>
      <c r="AM78" s="537"/>
      <c r="AN78" s="537"/>
      <c r="AO78" s="537"/>
      <c r="AP78" s="1087"/>
      <c r="AQ78" s="1088"/>
    </row>
    <row r="79" spans="2:43" x14ac:dyDescent="0.25">
      <c r="B79" s="53"/>
      <c r="C79" s="885" t="str">
        <f>+'F3.1'!B74</f>
        <v>OPGW- (48 core) for JGD-NKY ckt-I (55kM)</v>
      </c>
      <c r="D79" s="537"/>
      <c r="E79" s="891">
        <f>IF('F3.1'!D74="","",'F3.1'!D74)</f>
        <v>30</v>
      </c>
      <c r="F79" s="890">
        <f>IF('F3.1'!E74="","",'F3.1'!E74)</f>
        <v>45593</v>
      </c>
      <c r="G79" s="537"/>
      <c r="H79" s="892" t="s">
        <v>1051</v>
      </c>
      <c r="I79" s="537"/>
      <c r="J79" s="513" t="str">
        <f>+'F3.1'!G74</f>
        <v>2027-28</v>
      </c>
      <c r="K79" s="537"/>
      <c r="L79" s="513" t="str">
        <f>+'F3.1'!J74</f>
        <v>2027-28</v>
      </c>
      <c r="M79" s="537"/>
      <c r="N79" s="537"/>
      <c r="O79" s="537"/>
      <c r="P79" s="537"/>
      <c r="Q79" s="537"/>
      <c r="R79" s="537"/>
      <c r="S79" s="894"/>
      <c r="T79" s="894"/>
      <c r="U79" s="894">
        <f>+'F3.1'!M74</f>
        <v>3.18</v>
      </c>
      <c r="V79" s="894"/>
      <c r="W79" s="537"/>
      <c r="X79" s="537"/>
      <c r="Y79" s="537"/>
      <c r="Z79" s="537"/>
      <c r="AA79" s="537"/>
      <c r="AB79" s="537"/>
      <c r="AC79" s="537"/>
      <c r="AD79" s="893">
        <v>1</v>
      </c>
      <c r="AE79" s="537"/>
      <c r="AF79" s="537"/>
      <c r="AG79" s="537"/>
      <c r="AH79" s="537"/>
      <c r="AI79" s="537"/>
      <c r="AJ79" s="537"/>
      <c r="AK79" s="537"/>
      <c r="AL79" s="537"/>
      <c r="AM79" s="894">
        <f t="shared" ref="AM79" si="2">+U79*AD79</f>
        <v>3.18</v>
      </c>
      <c r="AN79" s="537"/>
      <c r="AO79" s="537"/>
      <c r="AP79" s="1087"/>
      <c r="AQ79" s="1088"/>
    </row>
    <row r="80" spans="2:43" x14ac:dyDescent="0.25">
      <c r="B80" s="53"/>
      <c r="C80" s="45"/>
      <c r="D80" s="537"/>
      <c r="E80" s="891"/>
      <c r="F80" s="537"/>
      <c r="G80" s="537"/>
      <c r="H80" s="537"/>
      <c r="I80" s="537"/>
      <c r="J80" s="537"/>
      <c r="K80" s="537"/>
      <c r="L80" s="537"/>
      <c r="M80" s="537"/>
      <c r="N80" s="537"/>
      <c r="O80" s="537"/>
      <c r="P80" s="537"/>
      <c r="Q80" s="537"/>
      <c r="R80" s="537"/>
      <c r="S80" s="894"/>
      <c r="T80" s="894"/>
      <c r="U80" s="894"/>
      <c r="V80" s="894"/>
      <c r="W80" s="537"/>
      <c r="X80" s="537"/>
      <c r="Y80" s="537"/>
      <c r="Z80" s="537"/>
      <c r="AA80" s="537"/>
      <c r="AB80" s="537"/>
      <c r="AC80" s="537"/>
      <c r="AD80" s="537"/>
      <c r="AE80" s="537"/>
      <c r="AF80" s="537"/>
      <c r="AG80" s="537"/>
      <c r="AH80" s="537"/>
      <c r="AI80" s="537"/>
      <c r="AJ80" s="537"/>
      <c r="AK80" s="537"/>
      <c r="AL80" s="537"/>
      <c r="AM80" s="537"/>
      <c r="AN80" s="537"/>
      <c r="AO80" s="537"/>
      <c r="AP80" s="1087"/>
      <c r="AQ80" s="1088"/>
    </row>
    <row r="81" spans="2:43" x14ac:dyDescent="0.25">
      <c r="B81" s="53"/>
      <c r="C81" s="103" t="s">
        <v>90</v>
      </c>
      <c r="D81" s="537"/>
      <c r="E81" s="891"/>
      <c r="F81" s="537"/>
      <c r="G81" s="537"/>
      <c r="H81" s="537"/>
      <c r="I81" s="537"/>
      <c r="J81" s="537"/>
      <c r="K81" s="537"/>
      <c r="L81" s="537"/>
      <c r="M81" s="537"/>
      <c r="N81" s="537"/>
      <c r="O81" s="537"/>
      <c r="P81" s="537"/>
      <c r="Q81" s="537"/>
      <c r="R81" s="537"/>
      <c r="S81" s="894"/>
      <c r="T81" s="894"/>
      <c r="U81" s="894"/>
      <c r="V81" s="894"/>
      <c r="W81" s="537"/>
      <c r="X81" s="537"/>
      <c r="Y81" s="537"/>
      <c r="Z81" s="537"/>
      <c r="AA81" s="537"/>
      <c r="AB81" s="537"/>
      <c r="AC81" s="537"/>
      <c r="AD81" s="537"/>
      <c r="AE81" s="537"/>
      <c r="AF81" s="537"/>
      <c r="AG81" s="537"/>
      <c r="AH81" s="537"/>
      <c r="AI81" s="537"/>
      <c r="AJ81" s="537"/>
      <c r="AK81" s="537"/>
      <c r="AL81" s="537"/>
      <c r="AM81" s="537"/>
      <c r="AN81" s="537"/>
      <c r="AO81" s="537"/>
      <c r="AP81" s="1087"/>
      <c r="AQ81" s="1088"/>
    </row>
    <row r="82" spans="2:43" x14ac:dyDescent="0.25">
      <c r="B82" s="53"/>
      <c r="C82" s="53" t="s">
        <v>1046</v>
      </c>
      <c r="D82" s="537"/>
      <c r="E82" s="891"/>
      <c r="F82" s="537"/>
      <c r="G82" s="537"/>
      <c r="H82" s="537"/>
      <c r="I82" s="537"/>
      <c r="J82" s="537"/>
      <c r="K82" s="537"/>
      <c r="L82" s="537"/>
      <c r="M82" s="537"/>
      <c r="N82" s="537"/>
      <c r="O82" s="537"/>
      <c r="P82" s="537"/>
      <c r="Q82" s="537"/>
      <c r="R82" s="537"/>
      <c r="S82" s="894"/>
      <c r="T82" s="894"/>
      <c r="U82" s="894"/>
      <c r="V82" s="894"/>
      <c r="W82" s="537"/>
      <c r="X82" s="537"/>
      <c r="Y82" s="537"/>
      <c r="Z82" s="537"/>
      <c r="AA82" s="537"/>
      <c r="AB82" s="537"/>
      <c r="AC82" s="537"/>
      <c r="AD82" s="537"/>
      <c r="AE82" s="537"/>
      <c r="AF82" s="537"/>
      <c r="AG82" s="537"/>
      <c r="AH82" s="537"/>
      <c r="AI82" s="537"/>
      <c r="AJ82" s="537"/>
      <c r="AK82" s="537"/>
      <c r="AL82" s="537"/>
      <c r="AM82" s="537"/>
      <c r="AN82" s="537"/>
      <c r="AO82" s="537"/>
      <c r="AP82" s="1087"/>
      <c r="AQ82" s="1088"/>
    </row>
    <row r="83" spans="2:43" x14ac:dyDescent="0.25">
      <c r="B83" s="53"/>
      <c r="C83" s="885" t="str">
        <f>+'F3.1'!B78</f>
        <v>Transmission line surge arrestor</v>
      </c>
      <c r="D83" s="537"/>
      <c r="E83" s="891">
        <f>IF('F3.1'!D78="","",'F3.1'!D78)</f>
        <v>31</v>
      </c>
      <c r="F83" s="890">
        <f>IF('F3.1'!E78="","",'F3.1'!E78)</f>
        <v>45593</v>
      </c>
      <c r="G83" s="537"/>
      <c r="H83" s="892" t="s">
        <v>1051</v>
      </c>
      <c r="I83" s="537"/>
      <c r="J83" s="513" t="str">
        <f>+'F3.1'!G78</f>
        <v>2028-29</v>
      </c>
      <c r="K83" s="537"/>
      <c r="L83" s="513" t="str">
        <f>+'F3.1'!J78</f>
        <v>2028-29</v>
      </c>
      <c r="M83" s="537"/>
      <c r="N83" s="537"/>
      <c r="O83" s="537"/>
      <c r="P83" s="537"/>
      <c r="Q83" s="537"/>
      <c r="R83" s="537"/>
      <c r="S83" s="894"/>
      <c r="T83" s="894"/>
      <c r="U83" s="894"/>
      <c r="V83" s="894">
        <f>+'F3.1'!M78</f>
        <v>1.1337600000000001</v>
      </c>
      <c r="W83" s="537"/>
      <c r="X83" s="537"/>
      <c r="Y83" s="537"/>
      <c r="Z83" s="537"/>
      <c r="AA83" s="537"/>
      <c r="AB83" s="537"/>
      <c r="AC83" s="537"/>
      <c r="AD83" s="537"/>
      <c r="AE83" s="893">
        <v>1</v>
      </c>
      <c r="AF83" s="537"/>
      <c r="AG83" s="537"/>
      <c r="AH83" s="537"/>
      <c r="AI83" s="537"/>
      <c r="AJ83" s="537"/>
      <c r="AK83" s="537"/>
      <c r="AL83" s="537"/>
      <c r="AM83" s="537"/>
      <c r="AN83" s="894">
        <f t="shared" ref="AN83" si="3">+V83*AE83</f>
        <v>1.1337600000000001</v>
      </c>
      <c r="AO83" s="537"/>
      <c r="AP83" s="1087"/>
      <c r="AQ83" s="1088"/>
    </row>
    <row r="84" spans="2:43" x14ac:dyDescent="0.25">
      <c r="B84" s="53"/>
      <c r="C84" s="45"/>
      <c r="D84" s="537"/>
      <c r="E84" s="891"/>
      <c r="F84" s="537"/>
      <c r="G84" s="537"/>
      <c r="H84" s="537"/>
      <c r="I84" s="537"/>
      <c r="J84" s="537"/>
      <c r="K84" s="537"/>
      <c r="L84" s="537"/>
      <c r="M84" s="537"/>
      <c r="N84" s="537"/>
      <c r="O84" s="537"/>
      <c r="P84" s="537"/>
      <c r="Q84" s="537"/>
      <c r="R84" s="537"/>
      <c r="S84" s="537"/>
      <c r="T84" s="537"/>
      <c r="U84" s="537"/>
      <c r="V84" s="537"/>
      <c r="W84" s="537"/>
      <c r="X84" s="537"/>
      <c r="Y84" s="537"/>
      <c r="Z84" s="537"/>
      <c r="AA84" s="537"/>
      <c r="AB84" s="537"/>
      <c r="AC84" s="537"/>
      <c r="AD84" s="537"/>
      <c r="AE84" s="537"/>
      <c r="AF84" s="537"/>
      <c r="AG84" s="537"/>
      <c r="AH84" s="537"/>
      <c r="AI84" s="537"/>
      <c r="AJ84" s="537"/>
      <c r="AK84" s="537"/>
      <c r="AL84" s="537"/>
      <c r="AM84" s="537"/>
      <c r="AN84" s="537"/>
      <c r="AO84" s="537"/>
      <c r="AP84" s="1089"/>
      <c r="AQ84" s="1090"/>
    </row>
    <row r="85" spans="2:43" hidden="1" x14ac:dyDescent="0.25">
      <c r="B85" s="53"/>
      <c r="C85" s="103" t="s">
        <v>91</v>
      </c>
      <c r="D85" s="537"/>
      <c r="E85" s="537"/>
      <c r="F85" s="537"/>
      <c r="G85" s="537"/>
      <c r="H85" s="537"/>
      <c r="I85" s="537"/>
      <c r="J85" s="537"/>
      <c r="K85" s="537"/>
      <c r="L85" s="537"/>
      <c r="M85" s="537"/>
      <c r="N85" s="537"/>
      <c r="O85" s="537"/>
      <c r="P85" s="537"/>
      <c r="Q85" s="537"/>
      <c r="R85" s="537"/>
      <c r="S85" s="537"/>
      <c r="T85" s="537"/>
      <c r="U85" s="537"/>
      <c r="V85" s="537"/>
      <c r="W85" s="537"/>
      <c r="X85" s="537"/>
      <c r="Y85" s="537"/>
      <c r="Z85" s="537"/>
      <c r="AA85" s="537"/>
      <c r="AB85" s="537"/>
      <c r="AC85" s="537"/>
      <c r="AD85" s="537"/>
      <c r="AE85" s="537"/>
      <c r="AF85" s="537"/>
      <c r="AG85" s="537"/>
      <c r="AH85" s="537"/>
      <c r="AI85" s="537"/>
      <c r="AJ85" s="537"/>
      <c r="AK85" s="537"/>
      <c r="AL85" s="537"/>
      <c r="AM85" s="537"/>
      <c r="AN85" s="537"/>
      <c r="AO85" s="537"/>
      <c r="AP85" s="537"/>
      <c r="AQ85" s="537"/>
    </row>
    <row r="86" spans="2:43" hidden="1" x14ac:dyDescent="0.25">
      <c r="B86" s="53"/>
      <c r="C86" s="31" t="s">
        <v>304</v>
      </c>
      <c r="D86" s="537"/>
      <c r="E86" s="537"/>
      <c r="F86" s="537"/>
      <c r="G86" s="537"/>
      <c r="H86" s="537"/>
      <c r="I86" s="537"/>
      <c r="J86" s="537"/>
      <c r="K86" s="537"/>
      <c r="L86" s="537"/>
      <c r="M86" s="537"/>
      <c r="N86" s="537"/>
      <c r="O86" s="537"/>
      <c r="P86" s="537"/>
      <c r="Q86" s="537"/>
      <c r="R86" s="537"/>
      <c r="S86" s="537"/>
      <c r="T86" s="537"/>
      <c r="U86" s="537"/>
      <c r="V86" s="537"/>
      <c r="W86" s="537"/>
      <c r="X86" s="537"/>
      <c r="Y86" s="537"/>
      <c r="Z86" s="537"/>
      <c r="AA86" s="537"/>
      <c r="AB86" s="537"/>
      <c r="AC86" s="537"/>
      <c r="AD86" s="537"/>
      <c r="AE86" s="537"/>
      <c r="AF86" s="537"/>
      <c r="AG86" s="537"/>
      <c r="AH86" s="537"/>
      <c r="AI86" s="537"/>
      <c r="AJ86" s="537"/>
      <c r="AK86" s="537"/>
      <c r="AL86" s="537"/>
      <c r="AM86" s="537"/>
      <c r="AN86" s="537"/>
      <c r="AO86" s="537"/>
      <c r="AP86" s="537"/>
      <c r="AQ86" s="537"/>
    </row>
    <row r="87" spans="2:43" hidden="1" x14ac:dyDescent="0.25">
      <c r="B87" s="53"/>
      <c r="C87" s="31" t="s">
        <v>304</v>
      </c>
      <c r="D87" s="537"/>
      <c r="E87" s="537"/>
      <c r="F87" s="537"/>
      <c r="G87" s="537"/>
      <c r="H87" s="537"/>
      <c r="I87" s="537"/>
      <c r="J87" s="537"/>
      <c r="K87" s="537"/>
      <c r="L87" s="537"/>
      <c r="M87" s="537"/>
      <c r="N87" s="537"/>
      <c r="O87" s="537"/>
      <c r="P87" s="537"/>
      <c r="Q87" s="537"/>
      <c r="R87" s="537"/>
      <c r="S87" s="537"/>
      <c r="T87" s="537"/>
      <c r="U87" s="537"/>
      <c r="V87" s="537"/>
      <c r="W87" s="537"/>
      <c r="X87" s="537"/>
      <c r="Y87" s="537"/>
      <c r="Z87" s="537"/>
      <c r="AA87" s="537"/>
      <c r="AB87" s="537"/>
      <c r="AC87" s="537"/>
      <c r="AD87" s="537"/>
      <c r="AE87" s="537"/>
      <c r="AF87" s="537"/>
      <c r="AG87" s="537"/>
      <c r="AH87" s="537"/>
      <c r="AI87" s="537"/>
      <c r="AJ87" s="537"/>
      <c r="AK87" s="537"/>
      <c r="AL87" s="537"/>
      <c r="AM87" s="537"/>
      <c r="AN87" s="537"/>
      <c r="AO87" s="537"/>
      <c r="AP87" s="537"/>
      <c r="AQ87" s="537"/>
    </row>
    <row r="88" spans="2:43" hidden="1" x14ac:dyDescent="0.25">
      <c r="B88" s="31"/>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c r="AN88" s="31"/>
      <c r="AO88" s="31"/>
      <c r="AP88" s="31"/>
      <c r="AQ88" s="31"/>
    </row>
    <row r="89" spans="2:43" x14ac:dyDescent="0.25">
      <c r="B89" s="55"/>
      <c r="C89" s="115" t="s">
        <v>307</v>
      </c>
      <c r="D89" s="55"/>
      <c r="E89" s="55"/>
      <c r="F89" s="55"/>
      <c r="G89" s="55"/>
      <c r="H89" s="55"/>
      <c r="I89" s="55"/>
      <c r="J89" s="55"/>
      <c r="K89" s="55"/>
      <c r="L89" s="55"/>
      <c r="M89" s="55"/>
      <c r="N89" s="55"/>
      <c r="O89" s="55"/>
      <c r="P89" s="55"/>
      <c r="Q89" s="55"/>
      <c r="R89" s="55"/>
      <c r="S89" s="889">
        <f>SUM(S58:S88)</f>
        <v>10.1875</v>
      </c>
      <c r="T89" s="889">
        <f t="shared" ref="T89:W89" si="4">SUM(T58:T88)</f>
        <v>0.4</v>
      </c>
      <c r="U89" s="889">
        <f t="shared" si="4"/>
        <v>3.18</v>
      </c>
      <c r="V89" s="889">
        <f t="shared" si="4"/>
        <v>1.1337600000000001</v>
      </c>
      <c r="W89" s="889">
        <f t="shared" si="4"/>
        <v>0</v>
      </c>
      <c r="X89" s="55"/>
      <c r="Y89" s="55"/>
      <c r="Z89" s="55"/>
      <c r="AA89" s="55"/>
      <c r="AB89" s="55"/>
      <c r="AC89" s="55"/>
      <c r="AD89" s="55"/>
      <c r="AE89" s="55"/>
      <c r="AF89" s="55"/>
      <c r="AG89" s="55"/>
      <c r="AH89" s="55"/>
      <c r="AI89" s="55"/>
      <c r="AJ89" s="55"/>
      <c r="AK89" s="889">
        <f>SUM(AK58:AK88)</f>
        <v>10.1875</v>
      </c>
      <c r="AL89" s="889">
        <f t="shared" ref="AL89" si="5">SUM(AL58:AL88)</f>
        <v>0.4</v>
      </c>
      <c r="AM89" s="889">
        <f t="shared" ref="AM89" si="6">SUM(AM58:AM88)</f>
        <v>3.18</v>
      </c>
      <c r="AN89" s="889">
        <f t="shared" ref="AN89" si="7">SUM(AN58:AN88)</f>
        <v>1.1337600000000001</v>
      </c>
      <c r="AO89" s="889">
        <f t="shared" ref="AO89" si="8">SUM(AO58:AO88)</f>
        <v>0</v>
      </c>
      <c r="AP89" s="55"/>
      <c r="AQ89" s="55"/>
    </row>
    <row r="91" spans="2:43" x14ac:dyDescent="0.25">
      <c r="B91" s="248" t="s">
        <v>340</v>
      </c>
      <c r="C91" s="248"/>
      <c r="D91" s="449"/>
      <c r="E91" s="449"/>
      <c r="F91" s="449"/>
      <c r="G91" s="449"/>
      <c r="H91" s="449"/>
    </row>
    <row r="92" spans="2:43" x14ac:dyDescent="0.25">
      <c r="B92" s="248" t="s">
        <v>341</v>
      </c>
      <c r="C92" s="248"/>
      <c r="D92" s="449"/>
      <c r="E92" s="449"/>
      <c r="F92" s="449"/>
      <c r="G92" s="449"/>
      <c r="H92" s="449"/>
    </row>
  </sheetData>
  <mergeCells count="23">
    <mergeCell ref="AP50:AQ84"/>
    <mergeCell ref="X10:AF10"/>
    <mergeCell ref="X11:X12"/>
    <mergeCell ref="AG10:AO10"/>
    <mergeCell ref="AG11:AG12"/>
    <mergeCell ref="AP10:AQ10"/>
    <mergeCell ref="AP11:AP12"/>
    <mergeCell ref="AQ11:AQ12"/>
    <mergeCell ref="B10:B12"/>
    <mergeCell ref="C10:C12"/>
    <mergeCell ref="D10:D12"/>
    <mergeCell ref="G10:G12"/>
    <mergeCell ref="O10:W10"/>
    <mergeCell ref="O11:O12"/>
    <mergeCell ref="J10:J12"/>
    <mergeCell ref="K10:K12"/>
    <mergeCell ref="L10:L12"/>
    <mergeCell ref="H10:H12"/>
    <mergeCell ref="M10:M12"/>
    <mergeCell ref="N10:N12"/>
    <mergeCell ref="I10:I12"/>
    <mergeCell ref="E10:E12"/>
    <mergeCell ref="F10:F12"/>
  </mergeCells>
  <pageMargins left="0.23622047244094491" right="0.23622047244094491" top="0.98425196850393704" bottom="0.98425196850393704" header="0.23622047244094491" footer="0.23622047244094491"/>
  <pageSetup paperSize="9" scale="55" fitToWidth="2" fitToHeight="2" orientation="landscape" r:id="rId1"/>
  <headerFooter alignWithMargins="0"/>
  <colBreaks count="1" manualBreakCount="1">
    <brk id="22" min="1" max="91"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AK87"/>
  <sheetViews>
    <sheetView showGridLines="0" view="pageBreakPreview" topLeftCell="A50" zoomScale="70" zoomScaleNormal="80" zoomScaleSheetLayoutView="70" workbookViewId="0">
      <selection activeCell="H63" sqref="H63"/>
    </sheetView>
  </sheetViews>
  <sheetFormatPr defaultColWidth="9.33203125" defaultRowHeight="13.8" x14ac:dyDescent="0.25"/>
  <cols>
    <col min="1" max="1" width="4.5546875" style="21" customWidth="1"/>
    <col min="2" max="2" width="8.33203125" style="21" customWidth="1"/>
    <col min="3" max="3" width="46.44140625" style="21" customWidth="1"/>
    <col min="4" max="4" width="12.33203125" style="21" customWidth="1"/>
    <col min="5" max="5" width="12.44140625" style="21" customWidth="1"/>
    <col min="6" max="6" width="12.6640625" style="21" customWidth="1"/>
    <col min="7" max="7" width="17.6640625" style="21" customWidth="1"/>
    <col min="8" max="8" width="16.5546875" style="21" customWidth="1"/>
    <col min="9" max="9" width="12.6640625" style="21" customWidth="1"/>
    <col min="10" max="10" width="15.109375" style="21" customWidth="1"/>
    <col min="11" max="11" width="15.33203125" style="21" customWidth="1"/>
    <col min="12" max="12" width="14.44140625" style="21" customWidth="1"/>
    <col min="13" max="13" width="14.6640625" style="21" customWidth="1"/>
    <col min="14" max="14" width="18.109375" style="21" customWidth="1"/>
    <col min="15" max="15" width="13.33203125" style="21" customWidth="1"/>
    <col min="16" max="19" width="14.44140625" style="21" customWidth="1"/>
    <col min="20" max="20" width="12" style="21" customWidth="1"/>
    <col min="21" max="21" width="13.33203125" style="21" bestFit="1" customWidth="1"/>
    <col min="22" max="24" width="12.5546875" style="21" customWidth="1"/>
    <col min="25" max="25" width="14.6640625" style="21" customWidth="1"/>
    <col min="26" max="26" width="12.6640625" style="21" customWidth="1"/>
    <col min="27" max="27" width="14.44140625" style="21" customWidth="1"/>
    <col min="28" max="28" width="16" style="21" customWidth="1"/>
    <col min="29" max="29" width="12.6640625" style="21" customWidth="1"/>
    <col min="30" max="30" width="14" style="21" customWidth="1"/>
    <col min="31" max="33" width="12.6640625" style="21" customWidth="1"/>
    <col min="34" max="34" width="15.33203125" style="21" customWidth="1"/>
    <col min="35" max="35" width="12.5546875" style="21" customWidth="1"/>
    <col min="36" max="36" width="13.44140625" style="21" customWidth="1"/>
    <col min="37" max="37" width="13.5546875" style="21" customWidth="1"/>
    <col min="38" max="40" width="9.33203125" style="21"/>
    <col min="41" max="41" width="11.33203125" style="21" customWidth="1"/>
    <col min="42" max="16384" width="9.33203125" style="21"/>
  </cols>
  <sheetData>
    <row r="1" spans="2:37" ht="15.75" customHeight="1" x14ac:dyDescent="0.25"/>
    <row r="2" spans="2:37" ht="15" customHeight="1" x14ac:dyDescent="0.25">
      <c r="C2" s="116"/>
      <c r="D2" s="116"/>
      <c r="E2" s="116"/>
      <c r="F2" s="116"/>
      <c r="G2" s="116"/>
      <c r="H2" s="141" t="str">
        <f>Index!B2</f>
        <v>JAIGAD POWER TRANSCO LIMITED (JPTL)</v>
      </c>
      <c r="I2" s="116"/>
      <c r="J2" s="116"/>
      <c r="K2" s="116"/>
      <c r="L2" s="116"/>
      <c r="M2" s="141"/>
      <c r="N2" s="141"/>
      <c r="O2" s="141"/>
    </row>
    <row r="3" spans="2:37" ht="15" customHeight="1" x14ac:dyDescent="0.25">
      <c r="C3" s="117"/>
      <c r="D3" s="117"/>
      <c r="E3" s="117"/>
      <c r="F3" s="117"/>
      <c r="G3" s="117"/>
      <c r="H3" s="300" t="s">
        <v>342</v>
      </c>
      <c r="I3" s="117"/>
      <c r="J3" s="117"/>
      <c r="K3" s="117"/>
      <c r="L3" s="117"/>
      <c r="M3" s="142"/>
      <c r="N3" s="142"/>
      <c r="O3" s="142"/>
      <c r="P3" s="22"/>
      <c r="Q3" s="22"/>
      <c r="R3" s="22"/>
      <c r="S3" s="22"/>
    </row>
    <row r="4" spans="2:37" ht="15" customHeight="1" x14ac:dyDescent="0.25">
      <c r="C4" s="118"/>
      <c r="D4" s="118"/>
      <c r="E4" s="118"/>
      <c r="F4" s="118"/>
      <c r="G4" s="118"/>
      <c r="H4" s="120" t="s">
        <v>343</v>
      </c>
      <c r="I4" s="118"/>
      <c r="J4" s="118"/>
      <c r="K4" s="118"/>
      <c r="L4" s="118"/>
      <c r="M4" s="108"/>
      <c r="N4" s="108"/>
      <c r="O4" s="108"/>
      <c r="P4" s="22"/>
      <c r="Q4" s="22"/>
      <c r="R4" s="22"/>
      <c r="S4" s="22"/>
    </row>
    <row r="5" spans="2:37" x14ac:dyDescent="0.25">
      <c r="C5" s="23"/>
      <c r="D5" s="23"/>
      <c r="E5" s="23"/>
      <c r="F5" s="23"/>
      <c r="G5" s="23"/>
      <c r="H5" s="51"/>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row>
    <row r="6" spans="2:37" x14ac:dyDescent="0.25">
      <c r="C6" s="23"/>
      <c r="D6" s="23"/>
      <c r="E6" s="23"/>
      <c r="F6" s="23"/>
      <c r="G6" s="23"/>
      <c r="H6" s="51"/>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row>
    <row r="7" spans="2:37" ht="15.75" customHeight="1" x14ac:dyDescent="0.25">
      <c r="C7" s="51" t="s">
        <v>282</v>
      </c>
      <c r="D7" s="51"/>
      <c r="E7" s="51"/>
      <c r="F7" s="51"/>
      <c r="G7" s="51"/>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row>
    <row r="8" spans="2:37" x14ac:dyDescent="0.25">
      <c r="C8" s="23"/>
      <c r="D8" s="23"/>
      <c r="E8" s="23"/>
      <c r="F8" s="23"/>
      <c r="G8" s="23"/>
      <c r="H8" s="23"/>
      <c r="I8" s="22"/>
      <c r="J8" s="22"/>
      <c r="K8" s="22"/>
      <c r="L8" s="22"/>
      <c r="M8" s="22"/>
      <c r="N8" s="52" t="s">
        <v>73</v>
      </c>
      <c r="O8" s="22"/>
      <c r="P8" s="22"/>
      <c r="Q8" s="22"/>
      <c r="R8" s="22"/>
      <c r="S8" s="22"/>
      <c r="T8" s="22"/>
      <c r="U8" s="22"/>
      <c r="V8" s="52"/>
      <c r="W8" s="22"/>
      <c r="Y8" s="22"/>
      <c r="Z8" s="22"/>
      <c r="AC8" s="52"/>
      <c r="AD8" s="52"/>
      <c r="AE8" s="52"/>
      <c r="AF8" s="52"/>
      <c r="AG8" s="52"/>
      <c r="AH8" s="22"/>
      <c r="AI8" s="22"/>
      <c r="AJ8" s="22"/>
    </row>
    <row r="9" spans="2:37" ht="15" customHeight="1" x14ac:dyDescent="0.25">
      <c r="B9" s="1052" t="s">
        <v>1</v>
      </c>
      <c r="C9" s="1052" t="s">
        <v>283</v>
      </c>
      <c r="D9" s="1052" t="s">
        <v>285</v>
      </c>
      <c r="E9" s="1052" t="s">
        <v>286</v>
      </c>
      <c r="F9" s="1052" t="s">
        <v>344</v>
      </c>
      <c r="G9" s="1052" t="s">
        <v>345</v>
      </c>
      <c r="H9" s="1052" t="s">
        <v>346</v>
      </c>
      <c r="I9" s="1052" t="s">
        <v>347</v>
      </c>
      <c r="J9" s="1052" t="s">
        <v>348</v>
      </c>
      <c r="K9" s="1052" t="s">
        <v>349</v>
      </c>
      <c r="L9" s="1052"/>
      <c r="M9" s="1052"/>
      <c r="N9" s="1052"/>
      <c r="O9" s="1052" t="s">
        <v>350</v>
      </c>
      <c r="P9" s="1070"/>
      <c r="Q9" s="1070"/>
      <c r="R9" s="1070"/>
      <c r="S9" s="1070"/>
      <c r="T9" s="1070"/>
      <c r="U9" s="1070"/>
      <c r="V9" s="1070"/>
    </row>
    <row r="10" spans="2:37" ht="25.5" customHeight="1" x14ac:dyDescent="0.25">
      <c r="B10" s="1052"/>
      <c r="C10" s="1052"/>
      <c r="D10" s="1052"/>
      <c r="E10" s="1052"/>
      <c r="F10" s="1052"/>
      <c r="G10" s="1052"/>
      <c r="H10" s="1052"/>
      <c r="I10" s="1052"/>
      <c r="J10" s="1052"/>
      <c r="K10" s="1052"/>
      <c r="L10" s="1052"/>
      <c r="M10" s="1052"/>
      <c r="N10" s="1052"/>
      <c r="O10" s="1052"/>
      <c r="P10" s="1070"/>
      <c r="Q10" s="1070"/>
      <c r="R10" s="1070"/>
      <c r="S10" s="1070"/>
      <c r="T10" s="1070"/>
      <c r="U10" s="1070"/>
      <c r="V10" s="1070"/>
    </row>
    <row r="11" spans="2:37" ht="49.5" customHeight="1" x14ac:dyDescent="0.25">
      <c r="B11" s="1052"/>
      <c r="C11" s="1052"/>
      <c r="D11" s="1091"/>
      <c r="E11" s="1091"/>
      <c r="F11" s="1091"/>
      <c r="G11" s="1091"/>
      <c r="H11" s="1091"/>
      <c r="I11" s="1091"/>
      <c r="J11" s="1091"/>
      <c r="K11" s="554" t="s">
        <v>351</v>
      </c>
      <c r="L11" s="554" t="s">
        <v>352</v>
      </c>
      <c r="M11" s="301" t="s">
        <v>353</v>
      </c>
      <c r="N11" s="301" t="s">
        <v>354</v>
      </c>
      <c r="O11" s="1052"/>
      <c r="P11" s="1070"/>
      <c r="Q11" s="1070"/>
      <c r="R11" s="1070"/>
      <c r="S11" s="1070"/>
      <c r="T11" s="1070"/>
      <c r="U11" s="1070"/>
      <c r="V11" s="1070"/>
    </row>
    <row r="12" spans="2:37" ht="13.8" hidden="1" customHeight="1" x14ac:dyDescent="0.25">
      <c r="B12" s="53"/>
      <c r="C12" s="53" t="s">
        <v>75</v>
      </c>
      <c r="D12" s="895"/>
      <c r="E12" s="895"/>
      <c r="F12" s="895"/>
      <c r="G12" s="895"/>
      <c r="H12" s="895"/>
      <c r="I12" s="895"/>
      <c r="J12" s="895"/>
      <c r="K12" s="895"/>
      <c r="L12" s="895"/>
      <c r="M12" s="895"/>
      <c r="N12" s="895"/>
      <c r="O12" s="895"/>
    </row>
    <row r="13" spans="2:37" hidden="1" x14ac:dyDescent="0.25">
      <c r="B13" s="53"/>
      <c r="C13" s="103" t="s">
        <v>302</v>
      </c>
      <c r="D13" s="895"/>
      <c r="E13" s="895"/>
      <c r="F13" s="895"/>
      <c r="G13" s="895"/>
      <c r="H13" s="895"/>
      <c r="I13" s="895"/>
      <c r="J13" s="895"/>
      <c r="K13" s="895"/>
      <c r="L13" s="895"/>
      <c r="M13" s="895"/>
      <c r="N13" s="895"/>
      <c r="O13" s="895"/>
    </row>
    <row r="14" spans="2:37" hidden="1" x14ac:dyDescent="0.25">
      <c r="B14" s="53"/>
      <c r="C14" s="104" t="s">
        <v>303</v>
      </c>
      <c r="D14" s="895"/>
      <c r="E14" s="895"/>
      <c r="F14" s="895"/>
      <c r="G14" s="895"/>
      <c r="H14" s="895"/>
      <c r="I14" s="895"/>
      <c r="J14" s="895"/>
      <c r="K14" s="895"/>
      <c r="L14" s="895"/>
      <c r="M14" s="895"/>
      <c r="N14" s="895"/>
      <c r="O14" s="895"/>
    </row>
    <row r="15" spans="2:37" hidden="1" x14ac:dyDescent="0.25">
      <c r="B15" s="53"/>
      <c r="C15" s="31" t="s">
        <v>304</v>
      </c>
      <c r="D15" s="895"/>
      <c r="E15" s="895"/>
      <c r="F15" s="895"/>
      <c r="G15" s="895"/>
      <c r="H15" s="895"/>
      <c r="I15" s="895"/>
      <c r="J15" s="895"/>
      <c r="K15" s="895"/>
      <c r="L15" s="895"/>
      <c r="M15" s="895"/>
      <c r="N15" s="895"/>
      <c r="O15" s="895"/>
    </row>
    <row r="16" spans="2:37" hidden="1" x14ac:dyDescent="0.25">
      <c r="B16" s="53"/>
      <c r="C16" s="31" t="s">
        <v>304</v>
      </c>
      <c r="D16" s="895"/>
      <c r="E16" s="895"/>
      <c r="F16" s="895"/>
      <c r="G16" s="895"/>
      <c r="H16" s="895"/>
      <c r="I16" s="895"/>
      <c r="J16" s="895"/>
      <c r="K16" s="895"/>
      <c r="L16" s="895"/>
      <c r="M16" s="895"/>
      <c r="N16" s="895"/>
      <c r="O16" s="895"/>
    </row>
    <row r="17" spans="2:15" hidden="1" x14ac:dyDescent="0.25">
      <c r="B17" s="53"/>
      <c r="C17" s="104" t="s">
        <v>305</v>
      </c>
      <c r="D17" s="895"/>
      <c r="E17" s="895"/>
      <c r="F17" s="895"/>
      <c r="G17" s="895"/>
      <c r="H17" s="895"/>
      <c r="I17" s="895"/>
      <c r="J17" s="895"/>
      <c r="K17" s="895"/>
      <c r="L17" s="895"/>
      <c r="M17" s="895"/>
      <c r="N17" s="895"/>
      <c r="O17" s="895"/>
    </row>
    <row r="18" spans="2:15" hidden="1" x14ac:dyDescent="0.25">
      <c r="B18" s="53"/>
      <c r="C18" s="31" t="s">
        <v>304</v>
      </c>
      <c r="D18" s="895"/>
      <c r="E18" s="895"/>
      <c r="F18" s="895"/>
      <c r="G18" s="895"/>
      <c r="H18" s="895"/>
      <c r="I18" s="895"/>
      <c r="J18" s="895"/>
      <c r="K18" s="895"/>
      <c r="L18" s="895"/>
      <c r="M18" s="895"/>
      <c r="N18" s="895"/>
      <c r="O18" s="895"/>
    </row>
    <row r="19" spans="2:15" hidden="1" x14ac:dyDescent="0.25">
      <c r="B19" s="53"/>
      <c r="C19" s="31" t="s">
        <v>304</v>
      </c>
      <c r="D19" s="895"/>
      <c r="E19" s="895"/>
      <c r="F19" s="895"/>
      <c r="G19" s="895"/>
      <c r="H19" s="895"/>
      <c r="I19" s="895"/>
      <c r="J19" s="895"/>
      <c r="K19" s="895"/>
      <c r="L19" s="895"/>
      <c r="M19" s="895"/>
      <c r="N19" s="895"/>
      <c r="O19" s="895"/>
    </row>
    <row r="20" spans="2:15" hidden="1" x14ac:dyDescent="0.25">
      <c r="B20" s="53"/>
      <c r="C20" s="53" t="s">
        <v>306</v>
      </c>
      <c r="D20" s="895"/>
      <c r="E20" s="895"/>
      <c r="F20" s="895"/>
      <c r="G20" s="895"/>
      <c r="H20" s="895"/>
      <c r="I20" s="895"/>
      <c r="J20" s="895"/>
      <c r="K20" s="895"/>
      <c r="L20" s="895"/>
      <c r="M20" s="895"/>
      <c r="N20" s="895"/>
      <c r="O20" s="895"/>
    </row>
    <row r="21" spans="2:15" hidden="1" x14ac:dyDescent="0.25">
      <c r="B21" s="53"/>
      <c r="C21" s="31" t="s">
        <v>304</v>
      </c>
      <c r="D21" s="895"/>
      <c r="E21" s="895"/>
      <c r="F21" s="895"/>
      <c r="G21" s="895"/>
      <c r="H21" s="895"/>
      <c r="I21" s="895"/>
      <c r="J21" s="895"/>
      <c r="K21" s="895"/>
      <c r="L21" s="895"/>
      <c r="M21" s="895"/>
      <c r="N21" s="895"/>
      <c r="O21" s="895"/>
    </row>
    <row r="22" spans="2:15" hidden="1" x14ac:dyDescent="0.25">
      <c r="B22" s="53"/>
      <c r="C22" s="31" t="s">
        <v>304</v>
      </c>
      <c r="D22" s="895"/>
      <c r="E22" s="895"/>
      <c r="F22" s="895"/>
      <c r="G22" s="895"/>
      <c r="H22" s="895"/>
      <c r="I22" s="895"/>
      <c r="J22" s="895"/>
      <c r="K22" s="895"/>
      <c r="L22" s="895"/>
      <c r="M22" s="895"/>
      <c r="N22" s="895"/>
      <c r="O22" s="895"/>
    </row>
    <row r="23" spans="2:15" hidden="1" x14ac:dyDescent="0.25">
      <c r="B23" s="53"/>
      <c r="C23" s="31"/>
      <c r="D23" s="895"/>
      <c r="E23" s="895"/>
      <c r="F23" s="895"/>
      <c r="G23" s="895"/>
      <c r="H23" s="895"/>
      <c r="I23" s="895"/>
      <c r="J23" s="895"/>
      <c r="K23" s="895"/>
      <c r="L23" s="895"/>
      <c r="M23" s="895"/>
      <c r="N23" s="895"/>
      <c r="O23" s="895"/>
    </row>
    <row r="24" spans="2:15" hidden="1" x14ac:dyDescent="0.25">
      <c r="B24" s="53"/>
      <c r="C24" s="53" t="s">
        <v>76</v>
      </c>
      <c r="D24" s="895"/>
      <c r="E24" s="895"/>
      <c r="F24" s="895"/>
      <c r="G24" s="895"/>
      <c r="H24" s="895"/>
      <c r="I24" s="895"/>
      <c r="J24" s="895"/>
      <c r="K24" s="895"/>
      <c r="L24" s="895"/>
      <c r="M24" s="895"/>
      <c r="N24" s="895"/>
      <c r="O24" s="895"/>
    </row>
    <row r="25" spans="2:15" hidden="1" x14ac:dyDescent="0.25">
      <c r="B25" s="53"/>
      <c r="C25" s="103" t="s">
        <v>302</v>
      </c>
      <c r="D25" s="895"/>
      <c r="E25" s="895"/>
      <c r="F25" s="895"/>
      <c r="G25" s="895"/>
      <c r="H25" s="895"/>
      <c r="I25" s="895"/>
      <c r="J25" s="895"/>
      <c r="K25" s="895"/>
      <c r="L25" s="895"/>
      <c r="M25" s="895"/>
      <c r="N25" s="895"/>
      <c r="O25" s="895"/>
    </row>
    <row r="26" spans="2:15" hidden="1" x14ac:dyDescent="0.25">
      <c r="B26" s="53"/>
      <c r="C26" s="104" t="s">
        <v>303</v>
      </c>
      <c r="D26" s="895"/>
      <c r="E26" s="895"/>
      <c r="F26" s="895"/>
      <c r="G26" s="895"/>
      <c r="H26" s="895"/>
      <c r="I26" s="895"/>
      <c r="J26" s="895"/>
      <c r="K26" s="895"/>
      <c r="L26" s="895"/>
      <c r="M26" s="895"/>
      <c r="N26" s="895"/>
      <c r="O26" s="895"/>
    </row>
    <row r="27" spans="2:15" hidden="1" x14ac:dyDescent="0.25">
      <c r="B27" s="53"/>
      <c r="C27" s="31" t="s">
        <v>304</v>
      </c>
      <c r="D27" s="895"/>
      <c r="E27" s="895"/>
      <c r="F27" s="895"/>
      <c r="G27" s="895"/>
      <c r="H27" s="895"/>
      <c r="I27" s="895"/>
      <c r="J27" s="895"/>
      <c r="K27" s="895"/>
      <c r="L27" s="895"/>
      <c r="M27" s="895"/>
      <c r="N27" s="895"/>
      <c r="O27" s="895"/>
    </row>
    <row r="28" spans="2:15" hidden="1" x14ac:dyDescent="0.25">
      <c r="B28" s="53"/>
      <c r="C28" s="31" t="s">
        <v>304</v>
      </c>
      <c r="D28" s="895"/>
      <c r="E28" s="895"/>
      <c r="F28" s="895"/>
      <c r="G28" s="895"/>
      <c r="H28" s="895"/>
      <c r="I28" s="895"/>
      <c r="J28" s="895"/>
      <c r="K28" s="895"/>
      <c r="L28" s="895"/>
      <c r="M28" s="895"/>
      <c r="N28" s="895"/>
      <c r="O28" s="895"/>
    </row>
    <row r="29" spans="2:15" hidden="1" x14ac:dyDescent="0.25">
      <c r="B29" s="53"/>
      <c r="C29" s="104" t="s">
        <v>305</v>
      </c>
      <c r="D29" s="895"/>
      <c r="E29" s="895"/>
      <c r="F29" s="895"/>
      <c r="G29" s="895"/>
      <c r="H29" s="895"/>
      <c r="I29" s="895"/>
      <c r="J29" s="895"/>
      <c r="K29" s="895"/>
      <c r="L29" s="895"/>
      <c r="M29" s="895"/>
      <c r="N29" s="895"/>
      <c r="O29" s="895"/>
    </row>
    <row r="30" spans="2:15" hidden="1" x14ac:dyDescent="0.25">
      <c r="B30" s="53"/>
      <c r="C30" s="31" t="s">
        <v>304</v>
      </c>
      <c r="D30" s="895"/>
      <c r="E30" s="895"/>
      <c r="F30" s="895"/>
      <c r="G30" s="895"/>
      <c r="H30" s="895"/>
      <c r="I30" s="895"/>
      <c r="J30" s="895"/>
      <c r="K30" s="895"/>
      <c r="L30" s="895"/>
      <c r="M30" s="895"/>
      <c r="N30" s="895"/>
      <c r="O30" s="895"/>
    </row>
    <row r="31" spans="2:15" hidden="1" x14ac:dyDescent="0.25">
      <c r="B31" s="53"/>
      <c r="C31" s="31" t="s">
        <v>304</v>
      </c>
      <c r="D31" s="895"/>
      <c r="E31" s="895"/>
      <c r="F31" s="895"/>
      <c r="G31" s="895"/>
      <c r="H31" s="895"/>
      <c r="I31" s="895"/>
      <c r="J31" s="895"/>
      <c r="K31" s="895"/>
      <c r="L31" s="895"/>
      <c r="M31" s="895"/>
      <c r="N31" s="895"/>
      <c r="O31" s="895"/>
    </row>
    <row r="32" spans="2:15" hidden="1" x14ac:dyDescent="0.25">
      <c r="B32" s="53"/>
      <c r="C32" s="53" t="s">
        <v>306</v>
      </c>
      <c r="D32" s="895"/>
      <c r="E32" s="895"/>
      <c r="F32" s="895"/>
      <c r="G32" s="895"/>
      <c r="H32" s="895"/>
      <c r="I32" s="895"/>
      <c r="J32" s="895"/>
      <c r="K32" s="895"/>
      <c r="L32" s="895"/>
      <c r="M32" s="895"/>
      <c r="N32" s="895"/>
      <c r="O32" s="895"/>
    </row>
    <row r="33" spans="2:15" hidden="1" x14ac:dyDescent="0.25">
      <c r="B33" s="53"/>
      <c r="C33" s="31" t="s">
        <v>304</v>
      </c>
      <c r="D33" s="895"/>
      <c r="E33" s="895"/>
      <c r="F33" s="895"/>
      <c r="G33" s="895"/>
      <c r="H33" s="895"/>
      <c r="I33" s="895"/>
      <c r="J33" s="895"/>
      <c r="K33" s="895"/>
      <c r="L33" s="895"/>
      <c r="M33" s="895"/>
      <c r="N33" s="895"/>
      <c r="O33" s="895"/>
    </row>
    <row r="34" spans="2:15" hidden="1" x14ac:dyDescent="0.25">
      <c r="B34" s="53"/>
      <c r="C34" s="31" t="s">
        <v>304</v>
      </c>
      <c r="D34" s="895"/>
      <c r="E34" s="895"/>
      <c r="F34" s="895"/>
      <c r="G34" s="895"/>
      <c r="H34" s="895"/>
      <c r="I34" s="895"/>
      <c r="J34" s="895"/>
      <c r="K34" s="895"/>
      <c r="L34" s="895"/>
      <c r="M34" s="895"/>
      <c r="N34" s="895"/>
      <c r="O34" s="895"/>
    </row>
    <row r="35" spans="2:15" hidden="1" x14ac:dyDescent="0.25">
      <c r="B35" s="53"/>
      <c r="C35" s="31"/>
      <c r="D35" s="895"/>
      <c r="E35" s="895"/>
      <c r="F35" s="895"/>
      <c r="G35" s="895"/>
      <c r="H35" s="895"/>
      <c r="I35" s="895"/>
      <c r="J35" s="895"/>
      <c r="K35" s="895"/>
      <c r="L35" s="895"/>
      <c r="M35" s="895"/>
      <c r="N35" s="895"/>
      <c r="O35" s="895"/>
    </row>
    <row r="36" spans="2:15" hidden="1" x14ac:dyDescent="0.25">
      <c r="B36" s="53"/>
      <c r="C36" s="53" t="s">
        <v>77</v>
      </c>
      <c r="D36" s="895"/>
      <c r="E36" s="895"/>
      <c r="F36" s="895"/>
      <c r="G36" s="895"/>
      <c r="H36" s="895"/>
      <c r="I36" s="895"/>
      <c r="J36" s="895"/>
      <c r="K36" s="895"/>
      <c r="L36" s="895"/>
      <c r="M36" s="895"/>
      <c r="N36" s="895"/>
      <c r="O36" s="895"/>
    </row>
    <row r="37" spans="2:15" hidden="1" x14ac:dyDescent="0.25">
      <c r="B37" s="53"/>
      <c r="C37" s="103" t="s">
        <v>302</v>
      </c>
      <c r="D37" s="895"/>
      <c r="E37" s="895"/>
      <c r="F37" s="895"/>
      <c r="G37" s="895"/>
      <c r="H37" s="895"/>
      <c r="I37" s="895"/>
      <c r="J37" s="895"/>
      <c r="K37" s="895"/>
      <c r="L37" s="895"/>
      <c r="M37" s="895"/>
      <c r="N37" s="895"/>
      <c r="O37" s="895"/>
    </row>
    <row r="38" spans="2:15" hidden="1" x14ac:dyDescent="0.25">
      <c r="B38" s="53"/>
      <c r="C38" s="104" t="s">
        <v>303</v>
      </c>
      <c r="D38" s="895"/>
      <c r="E38" s="895"/>
      <c r="F38" s="895"/>
      <c r="G38" s="895"/>
      <c r="H38" s="895"/>
      <c r="I38" s="895"/>
      <c r="J38" s="895"/>
      <c r="K38" s="895"/>
      <c r="L38" s="895"/>
      <c r="M38" s="895"/>
      <c r="N38" s="895"/>
      <c r="O38" s="895"/>
    </row>
    <row r="39" spans="2:15" hidden="1" x14ac:dyDescent="0.25">
      <c r="B39" s="53"/>
      <c r="C39" s="31" t="s">
        <v>304</v>
      </c>
      <c r="D39" s="895"/>
      <c r="E39" s="895"/>
      <c r="F39" s="895"/>
      <c r="G39" s="895"/>
      <c r="H39" s="895"/>
      <c r="I39" s="895"/>
      <c r="J39" s="895"/>
      <c r="K39" s="895"/>
      <c r="L39" s="895"/>
      <c r="M39" s="895"/>
      <c r="N39" s="895"/>
      <c r="O39" s="895"/>
    </row>
    <row r="40" spans="2:15" hidden="1" x14ac:dyDescent="0.25">
      <c r="B40" s="53"/>
      <c r="C40" s="31" t="s">
        <v>304</v>
      </c>
      <c r="D40" s="895"/>
      <c r="E40" s="895"/>
      <c r="F40" s="895"/>
      <c r="G40" s="895"/>
      <c r="H40" s="895"/>
      <c r="I40" s="895"/>
      <c r="J40" s="895"/>
      <c r="K40" s="895"/>
      <c r="L40" s="895"/>
      <c r="M40" s="895"/>
      <c r="N40" s="895"/>
      <c r="O40" s="895"/>
    </row>
    <row r="41" spans="2:15" hidden="1" x14ac:dyDescent="0.25">
      <c r="B41" s="53"/>
      <c r="C41" s="104" t="s">
        <v>305</v>
      </c>
      <c r="D41" s="895"/>
      <c r="E41" s="895"/>
      <c r="F41" s="895"/>
      <c r="G41" s="895"/>
      <c r="H41" s="895"/>
      <c r="I41" s="895"/>
      <c r="J41" s="895"/>
      <c r="K41" s="895"/>
      <c r="L41" s="895"/>
      <c r="M41" s="895"/>
      <c r="N41" s="895"/>
      <c r="O41" s="895"/>
    </row>
    <row r="42" spans="2:15" hidden="1" x14ac:dyDescent="0.25">
      <c r="B42" s="53"/>
      <c r="C42" s="31" t="s">
        <v>304</v>
      </c>
      <c r="D42" s="895"/>
      <c r="E42" s="895"/>
      <c r="F42" s="895"/>
      <c r="G42" s="895"/>
      <c r="H42" s="895"/>
      <c r="I42" s="895"/>
      <c r="J42" s="895"/>
      <c r="K42" s="895"/>
      <c r="L42" s="895"/>
      <c r="M42" s="895"/>
      <c r="N42" s="895"/>
      <c r="O42" s="895"/>
    </row>
    <row r="43" spans="2:15" hidden="1" x14ac:dyDescent="0.25">
      <c r="B43" s="53"/>
      <c r="C43" s="31" t="s">
        <v>304</v>
      </c>
      <c r="D43" s="895"/>
      <c r="E43" s="895"/>
      <c r="F43" s="895"/>
      <c r="G43" s="895"/>
      <c r="H43" s="895"/>
      <c r="I43" s="895"/>
      <c r="J43" s="895"/>
      <c r="K43" s="895"/>
      <c r="L43" s="895"/>
      <c r="M43" s="895"/>
      <c r="N43" s="895"/>
      <c r="O43" s="895"/>
    </row>
    <row r="44" spans="2:15" hidden="1" x14ac:dyDescent="0.25">
      <c r="B44" s="53"/>
      <c r="C44" s="53" t="s">
        <v>306</v>
      </c>
      <c r="D44" s="895"/>
      <c r="E44" s="895"/>
      <c r="F44" s="895"/>
      <c r="G44" s="895"/>
      <c r="H44" s="895"/>
      <c r="I44" s="895"/>
      <c r="J44" s="895"/>
      <c r="K44" s="895"/>
      <c r="L44" s="895"/>
      <c r="M44" s="895"/>
      <c r="N44" s="895"/>
      <c r="O44" s="895"/>
    </row>
    <row r="45" spans="2:15" hidden="1" x14ac:dyDescent="0.25">
      <c r="B45" s="53"/>
      <c r="C45" s="31" t="s">
        <v>304</v>
      </c>
      <c r="D45" s="895"/>
      <c r="E45" s="895"/>
      <c r="F45" s="895"/>
      <c r="G45" s="895"/>
      <c r="H45" s="895"/>
      <c r="I45" s="895"/>
      <c r="J45" s="895"/>
      <c r="K45" s="895"/>
      <c r="L45" s="895"/>
      <c r="M45" s="895"/>
      <c r="N45" s="895"/>
      <c r="O45" s="895"/>
    </row>
    <row r="46" spans="2:15" hidden="1" x14ac:dyDescent="0.25">
      <c r="B46" s="53"/>
      <c r="C46" s="31" t="s">
        <v>304</v>
      </c>
      <c r="D46" s="895"/>
      <c r="E46" s="895"/>
      <c r="F46" s="895"/>
      <c r="G46" s="895"/>
      <c r="H46" s="895"/>
      <c r="I46" s="895"/>
      <c r="J46" s="895"/>
      <c r="K46" s="895"/>
      <c r="L46" s="895"/>
      <c r="M46" s="895"/>
      <c r="N46" s="895"/>
      <c r="O46" s="895"/>
    </row>
    <row r="47" spans="2:15" hidden="1" x14ac:dyDescent="0.25">
      <c r="B47" s="53"/>
      <c r="C47" s="31"/>
      <c r="D47" s="895"/>
      <c r="E47" s="895"/>
      <c r="F47" s="895"/>
      <c r="G47" s="895"/>
      <c r="H47" s="895"/>
      <c r="I47" s="895"/>
      <c r="J47" s="895"/>
      <c r="K47" s="895"/>
      <c r="L47" s="895"/>
      <c r="M47" s="895"/>
      <c r="N47" s="895"/>
      <c r="O47" s="895"/>
    </row>
    <row r="48" spans="2:15" x14ac:dyDescent="0.25">
      <c r="B48" s="53"/>
      <c r="C48" s="53" t="s">
        <v>87</v>
      </c>
      <c r="D48" s="895"/>
      <c r="E48" s="895"/>
      <c r="F48" s="895"/>
      <c r="G48" s="895"/>
      <c r="H48" s="895"/>
      <c r="I48" s="895"/>
      <c r="J48" s="895"/>
      <c r="K48" s="895"/>
      <c r="L48" s="895"/>
      <c r="M48" s="895"/>
      <c r="N48" s="895"/>
      <c r="O48" s="895"/>
    </row>
    <row r="49" spans="2:15" x14ac:dyDescent="0.25">
      <c r="B49" s="53"/>
      <c r="C49" s="103" t="s">
        <v>302</v>
      </c>
      <c r="D49" s="537"/>
      <c r="E49" s="537"/>
      <c r="F49" s="537"/>
      <c r="G49" s="537"/>
      <c r="H49" s="537"/>
      <c r="I49" s="537"/>
      <c r="J49" s="537"/>
      <c r="K49" s="537"/>
      <c r="L49" s="537"/>
      <c r="M49" s="537"/>
      <c r="N49" s="537"/>
      <c r="O49" s="537"/>
    </row>
    <row r="50" spans="2:15" x14ac:dyDescent="0.25">
      <c r="B50" s="53"/>
      <c r="C50" s="104" t="s">
        <v>303</v>
      </c>
      <c r="D50" s="882" t="s">
        <v>1048</v>
      </c>
      <c r="E50" s="881" t="s">
        <v>1047</v>
      </c>
      <c r="F50" s="537"/>
      <c r="G50" s="537"/>
      <c r="H50" s="537"/>
      <c r="I50" s="537"/>
      <c r="J50" s="537"/>
      <c r="K50" s="537"/>
      <c r="L50" s="537"/>
      <c r="M50" s="537"/>
      <c r="N50" s="537"/>
      <c r="O50" s="537"/>
    </row>
    <row r="51" spans="2:15" x14ac:dyDescent="0.25">
      <c r="B51" s="53"/>
      <c r="C51" s="104" t="s">
        <v>305</v>
      </c>
      <c r="D51" s="537"/>
      <c r="E51" s="537"/>
      <c r="F51" s="537"/>
      <c r="G51" s="537"/>
      <c r="H51" s="537"/>
      <c r="I51" s="537"/>
      <c r="J51" s="537"/>
      <c r="K51" s="537"/>
      <c r="L51" s="537"/>
      <c r="M51" s="537"/>
      <c r="N51" s="537"/>
      <c r="O51" s="537"/>
    </row>
    <row r="52" spans="2:15" x14ac:dyDescent="0.25">
      <c r="B52" s="53"/>
      <c r="C52" s="53" t="s">
        <v>1046</v>
      </c>
      <c r="D52" s="537"/>
      <c r="E52" s="537"/>
      <c r="F52" s="537"/>
      <c r="G52" s="537"/>
      <c r="H52" s="537"/>
      <c r="I52" s="537"/>
      <c r="J52" s="537"/>
      <c r="K52" s="537"/>
      <c r="L52" s="537"/>
      <c r="M52" s="537"/>
      <c r="N52" s="537"/>
      <c r="O52" s="537"/>
    </row>
    <row r="53" spans="2:15" x14ac:dyDescent="0.25">
      <c r="B53" s="53"/>
      <c r="C53" s="885" t="str">
        <f>+'F3.1'!B53</f>
        <v>Emergency Portable Light</v>
      </c>
      <c r="D53" s="891" t="str">
        <f>IF('F3.1'!D53="","",'F3.1'!D53)</f>
        <v/>
      </c>
      <c r="E53" s="896" t="str">
        <f>IF('F3.1'!E53="","",'F3.1'!E53)</f>
        <v/>
      </c>
      <c r="F53" s="537">
        <f>+'F3.1'!M53</f>
        <v>3.5000000000000003E-2</v>
      </c>
      <c r="G53" s="537">
        <v>0</v>
      </c>
      <c r="H53" s="537">
        <v>0</v>
      </c>
      <c r="I53" s="537">
        <v>0</v>
      </c>
      <c r="J53" s="537">
        <f>+F53</f>
        <v>3.5000000000000003E-2</v>
      </c>
      <c r="K53" s="537">
        <f>+J53</f>
        <v>3.5000000000000003E-2</v>
      </c>
      <c r="L53" s="537"/>
      <c r="M53" s="537"/>
      <c r="N53" s="537">
        <f>+K53+L53+M53</f>
        <v>3.5000000000000003E-2</v>
      </c>
      <c r="O53" s="537">
        <f>+I53+J53-N53</f>
        <v>0</v>
      </c>
    </row>
    <row r="54" spans="2:15" x14ac:dyDescent="0.25">
      <c r="B54" s="53"/>
      <c r="C54" s="885" t="str">
        <f>+'F3.1'!B54</f>
        <v>Emergency Restoration System</v>
      </c>
      <c r="D54" s="891">
        <f>IF('F3.1'!D54="","",'F3.1'!D54)</f>
        <v>25</v>
      </c>
      <c r="E54" s="896">
        <f>IF('F3.1'!E54="","",'F3.1'!E54)</f>
        <v>45593</v>
      </c>
      <c r="F54" s="537">
        <f>+'F3.1'!M54</f>
        <v>8.9600000000000009</v>
      </c>
      <c r="G54" s="537">
        <v>0</v>
      </c>
      <c r="H54" s="537">
        <v>0</v>
      </c>
      <c r="I54" s="537">
        <v>0</v>
      </c>
      <c r="J54" s="537">
        <f t="shared" ref="J54:J60" si="0">+F54</f>
        <v>8.9600000000000009</v>
      </c>
      <c r="K54" s="537">
        <f t="shared" ref="K54:K60" si="1">+J54</f>
        <v>8.9600000000000009</v>
      </c>
      <c r="L54" s="537"/>
      <c r="M54" s="537"/>
      <c r="N54" s="537">
        <f t="shared" ref="N54:N60" si="2">+K54+L54+M54</f>
        <v>8.9600000000000009</v>
      </c>
      <c r="O54" s="537">
        <f t="shared" ref="O54:O60" si="3">+I54+J54-N54</f>
        <v>0</v>
      </c>
    </row>
    <row r="55" spans="2:15" x14ac:dyDescent="0.25">
      <c r="B55" s="53"/>
      <c r="C55" s="885" t="str">
        <f>+'F3.1'!B55</f>
        <v>Tower Footing Resistance Meter</v>
      </c>
      <c r="D55" s="891">
        <f>IF('F3.1'!D55="","",'F3.1'!D55)</f>
        <v>26</v>
      </c>
      <c r="E55" s="896">
        <f>IF('F3.1'!E55="","",'F3.1'!E55)</f>
        <v>45593</v>
      </c>
      <c r="F55" s="537">
        <f>+'F3.1'!M55</f>
        <v>0.11</v>
      </c>
      <c r="G55" s="537">
        <v>0</v>
      </c>
      <c r="H55" s="537">
        <v>0</v>
      </c>
      <c r="I55" s="537">
        <v>0</v>
      </c>
      <c r="J55" s="537">
        <f t="shared" si="0"/>
        <v>0.11</v>
      </c>
      <c r="K55" s="537">
        <f t="shared" si="1"/>
        <v>0.11</v>
      </c>
      <c r="L55" s="537"/>
      <c r="M55" s="537"/>
      <c r="N55" s="537">
        <f t="shared" si="2"/>
        <v>0.11</v>
      </c>
      <c r="O55" s="537">
        <f t="shared" si="3"/>
        <v>0</v>
      </c>
    </row>
    <row r="56" spans="2:15" x14ac:dyDescent="0.25">
      <c r="B56" s="53"/>
      <c r="C56" s="885" t="str">
        <f>+'F3.1'!B56</f>
        <v>Binoculars</v>
      </c>
      <c r="D56" s="891" t="str">
        <f>IF('F3.1'!D56="","",'F3.1'!D56)</f>
        <v/>
      </c>
      <c r="E56" s="896" t="str">
        <f>IF('F3.1'!E56="","",'F3.1'!E56)</f>
        <v/>
      </c>
      <c r="F56" s="537">
        <f>+'F3.1'!M56</f>
        <v>5.0000000000000001E-3</v>
      </c>
      <c r="G56" s="537">
        <v>0</v>
      </c>
      <c r="H56" s="537">
        <v>0</v>
      </c>
      <c r="I56" s="537">
        <v>0</v>
      </c>
      <c r="J56" s="537">
        <f t="shared" si="0"/>
        <v>5.0000000000000001E-3</v>
      </c>
      <c r="K56" s="537">
        <f t="shared" si="1"/>
        <v>5.0000000000000001E-3</v>
      </c>
      <c r="L56" s="537"/>
      <c r="M56" s="537"/>
      <c r="N56" s="537">
        <f t="shared" si="2"/>
        <v>5.0000000000000001E-3</v>
      </c>
      <c r="O56" s="537">
        <f t="shared" si="3"/>
        <v>0</v>
      </c>
    </row>
    <row r="57" spans="2:15" x14ac:dyDescent="0.25">
      <c r="B57" s="53"/>
      <c r="C57" s="885" t="str">
        <f>+'F3.1'!B57</f>
        <v>Laptop</v>
      </c>
      <c r="D57" s="891" t="str">
        <f>IF('F3.1'!D57="","",'F3.1'!D57)</f>
        <v/>
      </c>
      <c r="E57" s="896" t="str">
        <f>IF('F3.1'!E57="","",'F3.1'!E57)</f>
        <v/>
      </c>
      <c r="F57" s="537">
        <f>+'F3.1'!M57</f>
        <v>0.03</v>
      </c>
      <c r="G57" s="537">
        <v>0</v>
      </c>
      <c r="H57" s="537">
        <v>0</v>
      </c>
      <c r="I57" s="537">
        <v>0</v>
      </c>
      <c r="J57" s="537">
        <f t="shared" si="0"/>
        <v>0.03</v>
      </c>
      <c r="K57" s="537">
        <f t="shared" si="1"/>
        <v>0.03</v>
      </c>
      <c r="L57" s="537"/>
      <c r="M57" s="537"/>
      <c r="N57" s="537">
        <f t="shared" si="2"/>
        <v>0.03</v>
      </c>
      <c r="O57" s="537">
        <f t="shared" si="3"/>
        <v>0</v>
      </c>
    </row>
    <row r="58" spans="2:15" x14ac:dyDescent="0.25">
      <c r="B58" s="53"/>
      <c r="C58" s="885" t="str">
        <f>+'F3.1'!B58</f>
        <v>Travelling wave Fault location system</v>
      </c>
      <c r="D58" s="891">
        <f>IF('F3.1'!D58="","",'F3.1'!D58)</f>
        <v>27</v>
      </c>
      <c r="E58" s="896">
        <f>IF('F3.1'!E58="","",'F3.1'!E58)</f>
        <v>45593</v>
      </c>
      <c r="F58" s="537">
        <f>+'F3.1'!M58</f>
        <v>0.87</v>
      </c>
      <c r="G58" s="537">
        <v>0</v>
      </c>
      <c r="H58" s="537">
        <v>0</v>
      </c>
      <c r="I58" s="537">
        <v>0</v>
      </c>
      <c r="J58" s="537">
        <f t="shared" si="0"/>
        <v>0.87</v>
      </c>
      <c r="K58" s="537">
        <f t="shared" si="1"/>
        <v>0.87</v>
      </c>
      <c r="L58" s="537"/>
      <c r="M58" s="537"/>
      <c r="N58" s="537">
        <f t="shared" si="2"/>
        <v>0.87</v>
      </c>
      <c r="O58" s="537">
        <f t="shared" si="3"/>
        <v>0</v>
      </c>
    </row>
    <row r="59" spans="2:15" x14ac:dyDescent="0.25">
      <c r="B59" s="53"/>
      <c r="C59" s="885" t="str">
        <f>+'F3.1'!B59</f>
        <v>Solar Roof shade for office building</v>
      </c>
      <c r="D59" s="891">
        <f>IF('F3.1'!D59="","",'F3.1'!D59)</f>
        <v>28</v>
      </c>
      <c r="E59" s="896">
        <f>IF('F3.1'!E59="","",'F3.1'!E59)</f>
        <v>45593</v>
      </c>
      <c r="F59" s="537">
        <f>+'F3.1'!M59</f>
        <v>0.17</v>
      </c>
      <c r="G59" s="537">
        <v>0</v>
      </c>
      <c r="H59" s="537">
        <v>0</v>
      </c>
      <c r="I59" s="537">
        <v>0</v>
      </c>
      <c r="J59" s="537">
        <f t="shared" si="0"/>
        <v>0.17</v>
      </c>
      <c r="K59" s="537">
        <f t="shared" si="1"/>
        <v>0.17</v>
      </c>
      <c r="L59" s="537"/>
      <c r="M59" s="537"/>
      <c r="N59" s="537">
        <f t="shared" si="2"/>
        <v>0.17</v>
      </c>
      <c r="O59" s="537">
        <f t="shared" si="3"/>
        <v>0</v>
      </c>
    </row>
    <row r="60" spans="2:15" x14ac:dyDescent="0.25">
      <c r="B60" s="53"/>
      <c r="C60" s="885" t="str">
        <f>+'F3.1'!B60</f>
        <v>Face recognition attendance machines</v>
      </c>
      <c r="D60" s="891" t="str">
        <f>IF('F3.1'!D60="","",'F3.1'!D60)</f>
        <v/>
      </c>
      <c r="E60" s="896" t="str">
        <f>IF('F3.1'!E60="","",'F3.1'!E60)</f>
        <v/>
      </c>
      <c r="F60" s="537">
        <f>+'F3.1'!M60</f>
        <v>7.4999999999999997E-3</v>
      </c>
      <c r="G60" s="537">
        <v>0</v>
      </c>
      <c r="H60" s="537">
        <v>0</v>
      </c>
      <c r="I60" s="537">
        <v>0</v>
      </c>
      <c r="J60" s="537">
        <f t="shared" si="0"/>
        <v>7.4999999999999997E-3</v>
      </c>
      <c r="K60" s="537">
        <f t="shared" si="1"/>
        <v>7.4999999999999997E-3</v>
      </c>
      <c r="L60" s="537"/>
      <c r="M60" s="537"/>
      <c r="N60" s="537">
        <f t="shared" si="2"/>
        <v>7.4999999999999997E-3</v>
      </c>
      <c r="O60" s="537">
        <f t="shared" si="3"/>
        <v>0</v>
      </c>
    </row>
    <row r="61" spans="2:15" x14ac:dyDescent="0.25">
      <c r="B61" s="53"/>
      <c r="C61" s="885"/>
      <c r="D61" s="891" t="str">
        <f>IF('F3.1'!C56="","",'F3.1'!C56)</f>
        <v/>
      </c>
      <c r="E61" s="890" t="str">
        <f>IF('F3.1'!D56="","",'F3.1'!D56)</f>
        <v/>
      </c>
      <c r="F61" s="537"/>
      <c r="G61" s="537"/>
      <c r="H61" s="537"/>
      <c r="I61" s="537"/>
      <c r="J61" s="537"/>
      <c r="K61" s="537"/>
      <c r="L61" s="537"/>
      <c r="M61" s="537"/>
      <c r="N61" s="537"/>
      <c r="O61" s="537"/>
    </row>
    <row r="62" spans="2:15" x14ac:dyDescent="0.25">
      <c r="B62" s="53"/>
      <c r="C62" s="103" t="s">
        <v>88</v>
      </c>
      <c r="D62" s="891" t="str">
        <f>IF('F3.1'!C57="","",'F3.1'!C57)</f>
        <v/>
      </c>
      <c r="E62" s="890" t="str">
        <f>IF('F3.1'!D57="","",'F3.1'!D57)</f>
        <v/>
      </c>
      <c r="F62" s="537"/>
      <c r="G62" s="537"/>
      <c r="H62" s="537"/>
      <c r="I62" s="537"/>
      <c r="J62" s="537"/>
      <c r="K62" s="537"/>
      <c r="L62" s="537"/>
      <c r="M62" s="537"/>
      <c r="N62" s="537"/>
      <c r="O62" s="537"/>
    </row>
    <row r="63" spans="2:15" x14ac:dyDescent="0.25">
      <c r="B63" s="53"/>
      <c r="C63" s="103" t="s">
        <v>302</v>
      </c>
      <c r="D63" s="891" t="str">
        <f>IF('F3.1'!C58="","",'F3.1'!C58)</f>
        <v/>
      </c>
      <c r="E63" s="890"/>
      <c r="F63" s="537"/>
      <c r="G63" s="537"/>
      <c r="H63" s="537"/>
      <c r="I63" s="537"/>
      <c r="J63" s="537"/>
      <c r="K63" s="537"/>
      <c r="L63" s="537"/>
      <c r="M63" s="537"/>
      <c r="N63" s="537"/>
      <c r="O63" s="537"/>
    </row>
    <row r="64" spans="2:15" x14ac:dyDescent="0.25">
      <c r="B64" s="53"/>
      <c r="C64" s="104" t="s">
        <v>303</v>
      </c>
      <c r="D64" s="891" t="str">
        <f>IF('F3.1'!C59="","",'F3.1'!C59)</f>
        <v/>
      </c>
      <c r="E64" s="890"/>
      <c r="F64" s="537"/>
      <c r="G64" s="537"/>
      <c r="H64" s="537"/>
      <c r="I64" s="537"/>
      <c r="J64" s="537"/>
      <c r="K64" s="537"/>
      <c r="L64" s="537"/>
      <c r="M64" s="537"/>
      <c r="N64" s="537"/>
      <c r="O64" s="537"/>
    </row>
    <row r="65" spans="2:15" x14ac:dyDescent="0.25">
      <c r="B65" s="53"/>
      <c r="C65" s="104" t="s">
        <v>305</v>
      </c>
      <c r="D65" s="895"/>
      <c r="E65" s="895"/>
      <c r="F65" s="537"/>
      <c r="G65" s="537"/>
      <c r="H65" s="537"/>
      <c r="I65" s="537"/>
      <c r="J65" s="537"/>
      <c r="K65" s="537"/>
      <c r="L65" s="537"/>
      <c r="M65" s="537"/>
      <c r="N65" s="537"/>
      <c r="O65" s="537"/>
    </row>
    <row r="66" spans="2:15" x14ac:dyDescent="0.25">
      <c r="B66" s="53"/>
      <c r="C66" s="53" t="s">
        <v>1046</v>
      </c>
      <c r="D66" s="895"/>
      <c r="E66" s="895"/>
      <c r="F66" s="537"/>
      <c r="G66" s="537"/>
      <c r="H66" s="537"/>
      <c r="I66" s="537"/>
      <c r="J66" s="537"/>
      <c r="K66" s="537"/>
      <c r="L66" s="537"/>
      <c r="M66" s="537"/>
      <c r="N66" s="537"/>
      <c r="O66" s="537"/>
    </row>
    <row r="67" spans="2:15" x14ac:dyDescent="0.25">
      <c r="B67" s="53"/>
      <c r="C67" s="885" t="str">
        <f>+'F3.1'!B67</f>
        <v>Control switching device</v>
      </c>
      <c r="D67" s="891">
        <f>IF('F3.1'!D67="","",'F3.1'!D67)</f>
        <v>29</v>
      </c>
      <c r="E67" s="896">
        <f>IF('F3.1'!E67="","",'F3.1'!E67)</f>
        <v>45593</v>
      </c>
      <c r="F67" s="537">
        <f>+'F3.1'!M67</f>
        <v>0.4</v>
      </c>
      <c r="G67" s="537">
        <v>0</v>
      </c>
      <c r="H67" s="537">
        <v>0</v>
      </c>
      <c r="I67" s="537">
        <v>0</v>
      </c>
      <c r="J67" s="537">
        <f t="shared" ref="J67" si="4">+F67</f>
        <v>0.4</v>
      </c>
      <c r="K67" s="537">
        <f t="shared" ref="K67" si="5">+J67</f>
        <v>0.4</v>
      </c>
      <c r="L67" s="537"/>
      <c r="M67" s="537"/>
      <c r="N67" s="537">
        <f t="shared" ref="N67" si="6">+K67+L67+M67</f>
        <v>0.4</v>
      </c>
      <c r="O67" s="537">
        <f t="shared" ref="O67" si="7">+I67+J67-N67</f>
        <v>0</v>
      </c>
    </row>
    <row r="68" spans="2:15" x14ac:dyDescent="0.25">
      <c r="B68" s="53"/>
      <c r="C68" s="45"/>
      <c r="D68" s="895"/>
      <c r="E68" s="895"/>
      <c r="F68" s="537"/>
      <c r="G68" s="537"/>
      <c r="H68" s="537"/>
      <c r="I68" s="537"/>
      <c r="J68" s="537"/>
      <c r="K68" s="537"/>
      <c r="L68" s="537"/>
      <c r="M68" s="537"/>
      <c r="N68" s="537"/>
      <c r="O68" s="537"/>
    </row>
    <row r="69" spans="2:15" x14ac:dyDescent="0.25">
      <c r="B69" s="53"/>
      <c r="C69" s="103" t="s">
        <v>89</v>
      </c>
      <c r="D69" s="895"/>
      <c r="E69" s="895"/>
      <c r="F69" s="537"/>
      <c r="G69" s="537"/>
      <c r="H69" s="537"/>
      <c r="I69" s="537"/>
      <c r="J69" s="537"/>
      <c r="K69" s="537"/>
      <c r="L69" s="537"/>
      <c r="M69" s="537"/>
      <c r="N69" s="537"/>
      <c r="O69" s="537"/>
    </row>
    <row r="70" spans="2:15" x14ac:dyDescent="0.25">
      <c r="B70" s="53"/>
      <c r="C70" s="103" t="s">
        <v>302</v>
      </c>
      <c r="D70" s="895"/>
      <c r="E70" s="895"/>
      <c r="F70" s="537"/>
      <c r="G70" s="537"/>
      <c r="H70" s="537"/>
      <c r="I70" s="537"/>
      <c r="J70" s="537"/>
      <c r="K70" s="537"/>
      <c r="L70" s="537"/>
      <c r="M70" s="537"/>
      <c r="N70" s="537"/>
      <c r="O70" s="537"/>
    </row>
    <row r="71" spans="2:15" x14ac:dyDescent="0.25">
      <c r="B71" s="53"/>
      <c r="C71" s="104" t="s">
        <v>303</v>
      </c>
      <c r="D71" s="895"/>
      <c r="E71" s="895"/>
      <c r="F71" s="537"/>
      <c r="G71" s="537"/>
      <c r="H71" s="537"/>
      <c r="I71" s="537"/>
      <c r="J71" s="537"/>
      <c r="K71" s="537"/>
      <c r="L71" s="537"/>
      <c r="M71" s="537"/>
      <c r="N71" s="537"/>
      <c r="O71" s="537"/>
    </row>
    <row r="72" spans="2:15" x14ac:dyDescent="0.25">
      <c r="B72" s="53"/>
      <c r="C72" s="104" t="s">
        <v>305</v>
      </c>
      <c r="D72" s="895"/>
      <c r="E72" s="895"/>
      <c r="F72" s="537"/>
      <c r="G72" s="537"/>
      <c r="H72" s="537"/>
      <c r="I72" s="537"/>
      <c r="J72" s="537"/>
      <c r="K72" s="537"/>
      <c r="L72" s="537"/>
      <c r="M72" s="537"/>
      <c r="N72" s="537"/>
      <c r="O72" s="537"/>
    </row>
    <row r="73" spans="2:15" x14ac:dyDescent="0.25">
      <c r="B73" s="53"/>
      <c r="C73" s="53" t="s">
        <v>1046</v>
      </c>
      <c r="D73" s="895"/>
      <c r="E73" s="895"/>
      <c r="F73" s="537"/>
      <c r="G73" s="537"/>
      <c r="H73" s="537"/>
      <c r="I73" s="537"/>
      <c r="J73" s="537"/>
      <c r="K73" s="537"/>
      <c r="L73" s="537"/>
      <c r="M73" s="537"/>
      <c r="N73" s="537"/>
      <c r="O73" s="537"/>
    </row>
    <row r="74" spans="2:15" x14ac:dyDescent="0.25">
      <c r="B74" s="53"/>
      <c r="C74" s="885" t="str">
        <f>+'F3.1'!B74</f>
        <v>OPGW- (48 core) for JGD-NKY ckt-I (55kM)</v>
      </c>
      <c r="D74" s="891">
        <f>IF('F3.1'!D74="","",'F3.1'!D74)</f>
        <v>30</v>
      </c>
      <c r="E74" s="896">
        <f>IF('F3.1'!E74="","",'F3.1'!E74)</f>
        <v>45593</v>
      </c>
      <c r="F74" s="537">
        <f>+'F3.1'!M74</f>
        <v>3.18</v>
      </c>
      <c r="G74" s="537">
        <v>0</v>
      </c>
      <c r="H74" s="537">
        <v>0</v>
      </c>
      <c r="I74" s="537">
        <v>0</v>
      </c>
      <c r="J74" s="537">
        <f t="shared" ref="J74" si="8">+F74</f>
        <v>3.18</v>
      </c>
      <c r="K74" s="537">
        <f t="shared" ref="K74" si="9">+J74</f>
        <v>3.18</v>
      </c>
      <c r="L74" s="537"/>
      <c r="M74" s="537"/>
      <c r="N74" s="537">
        <f t="shared" ref="N74" si="10">+K74+L74+M74</f>
        <v>3.18</v>
      </c>
      <c r="O74" s="537">
        <f t="shared" ref="O74" si="11">+I74+J74-N74</f>
        <v>0</v>
      </c>
    </row>
    <row r="75" spans="2:15" x14ac:dyDescent="0.25">
      <c r="B75" s="53"/>
      <c r="C75" s="45"/>
      <c r="D75" s="895"/>
      <c r="E75" s="895"/>
      <c r="F75" s="537"/>
      <c r="G75" s="537"/>
      <c r="H75" s="537"/>
      <c r="I75" s="537"/>
      <c r="J75" s="537"/>
      <c r="K75" s="537"/>
      <c r="L75" s="537"/>
      <c r="M75" s="537"/>
      <c r="N75" s="537"/>
      <c r="O75" s="537"/>
    </row>
    <row r="76" spans="2:15" x14ac:dyDescent="0.25">
      <c r="B76" s="53"/>
      <c r="C76" s="103" t="s">
        <v>90</v>
      </c>
      <c r="D76" s="895"/>
      <c r="E76" s="895"/>
      <c r="F76" s="537"/>
      <c r="G76" s="537"/>
      <c r="H76" s="537"/>
      <c r="I76" s="537"/>
      <c r="J76" s="537"/>
      <c r="K76" s="537"/>
      <c r="L76" s="537"/>
      <c r="M76" s="537"/>
      <c r="N76" s="537"/>
      <c r="O76" s="537"/>
    </row>
    <row r="77" spans="2:15" x14ac:dyDescent="0.25">
      <c r="B77" s="53"/>
      <c r="C77" s="53" t="s">
        <v>1046</v>
      </c>
      <c r="D77" s="895"/>
      <c r="E77" s="895"/>
      <c r="F77" s="537"/>
      <c r="G77" s="537"/>
      <c r="H77" s="537"/>
      <c r="I77" s="537"/>
      <c r="J77" s="537"/>
      <c r="K77" s="537"/>
      <c r="L77" s="537"/>
      <c r="M77" s="537"/>
      <c r="N77" s="537"/>
      <c r="O77" s="537"/>
    </row>
    <row r="78" spans="2:15" x14ac:dyDescent="0.25">
      <c r="B78" s="53"/>
      <c r="C78" s="885" t="str">
        <f>+'F3.1'!B78</f>
        <v>Transmission line surge arrestor</v>
      </c>
      <c r="D78" s="891">
        <f>IF('F3.1'!D78="","",'F3.1'!D78)</f>
        <v>31</v>
      </c>
      <c r="E78" s="896">
        <f>IF('F3.1'!E78="","",'F3.1'!E78)</f>
        <v>45593</v>
      </c>
      <c r="F78" s="537">
        <f>+'F3.1'!M78</f>
        <v>1.1337600000000001</v>
      </c>
      <c r="G78" s="537">
        <v>0</v>
      </c>
      <c r="H78" s="537">
        <v>0</v>
      </c>
      <c r="I78" s="537">
        <v>0</v>
      </c>
      <c r="J78" s="537">
        <f t="shared" ref="J78" si="12">+F78</f>
        <v>1.1337600000000001</v>
      </c>
      <c r="K78" s="537">
        <f t="shared" ref="K78" si="13">+J78</f>
        <v>1.1337600000000001</v>
      </c>
      <c r="L78" s="537"/>
      <c r="M78" s="537"/>
      <c r="N78" s="537">
        <f t="shared" ref="N78" si="14">+K78+L78+M78</f>
        <v>1.1337600000000001</v>
      </c>
      <c r="O78" s="537">
        <f t="shared" ref="O78" si="15">+I78+J78-N78</f>
        <v>0</v>
      </c>
    </row>
    <row r="79" spans="2:15" x14ac:dyDescent="0.25">
      <c r="B79" s="53"/>
      <c r="C79" s="45"/>
      <c r="D79" s="895"/>
      <c r="E79" s="895"/>
      <c r="F79" s="537"/>
      <c r="G79" s="537"/>
      <c r="H79" s="537"/>
      <c r="I79" s="537"/>
      <c r="J79" s="537"/>
      <c r="K79" s="537"/>
      <c r="L79" s="537"/>
      <c r="M79" s="537"/>
      <c r="N79" s="537"/>
      <c r="O79" s="537"/>
    </row>
    <row r="80" spans="2:15" x14ac:dyDescent="0.25">
      <c r="B80" s="53"/>
      <c r="C80" s="103" t="s">
        <v>91</v>
      </c>
      <c r="D80" s="895"/>
      <c r="E80" s="895"/>
      <c r="F80" s="537"/>
      <c r="G80" s="537"/>
      <c r="H80" s="537"/>
      <c r="I80" s="537"/>
      <c r="J80" s="537"/>
      <c r="K80" s="537"/>
      <c r="L80" s="537"/>
      <c r="M80" s="537"/>
      <c r="N80" s="537"/>
      <c r="O80" s="537"/>
    </row>
    <row r="81" spans="2:15" x14ac:dyDescent="0.25">
      <c r="B81" s="53"/>
      <c r="C81" s="31" t="s">
        <v>304</v>
      </c>
      <c r="D81" s="895"/>
      <c r="E81" s="895"/>
      <c r="F81" s="537"/>
      <c r="G81" s="537"/>
      <c r="H81" s="537"/>
      <c r="I81" s="537"/>
      <c r="J81" s="537"/>
      <c r="K81" s="537"/>
      <c r="L81" s="537"/>
      <c r="M81" s="537"/>
      <c r="N81" s="537"/>
      <c r="O81" s="537"/>
    </row>
    <row r="82" spans="2:15" x14ac:dyDescent="0.25">
      <c r="B82" s="53"/>
      <c r="C82" s="31" t="s">
        <v>304</v>
      </c>
      <c r="D82" s="895"/>
      <c r="E82" s="895"/>
      <c r="F82" s="537"/>
      <c r="G82" s="537"/>
      <c r="H82" s="537"/>
      <c r="I82" s="537"/>
      <c r="J82" s="537"/>
      <c r="K82" s="537"/>
      <c r="L82" s="537"/>
      <c r="M82" s="537"/>
      <c r="N82" s="537"/>
      <c r="O82" s="537"/>
    </row>
    <row r="83" spans="2:15" x14ac:dyDescent="0.25">
      <c r="B83" s="31"/>
      <c r="C83" s="31"/>
      <c r="D83" s="31"/>
      <c r="E83" s="31"/>
      <c r="F83" s="31"/>
      <c r="G83" s="31"/>
      <c r="H83" s="31"/>
      <c r="I83" s="31"/>
      <c r="J83" s="31"/>
      <c r="K83" s="31"/>
      <c r="L83" s="31"/>
      <c r="M83" s="31"/>
      <c r="N83" s="31"/>
      <c r="O83" s="31"/>
    </row>
    <row r="84" spans="2:15" x14ac:dyDescent="0.25">
      <c r="B84" s="55"/>
      <c r="C84" s="115" t="s">
        <v>307</v>
      </c>
      <c r="D84" s="115"/>
      <c r="E84" s="115"/>
      <c r="F84" s="897">
        <f>SUM(F53:F78)</f>
        <v>14.901260000000001</v>
      </c>
      <c r="G84" s="55"/>
      <c r="H84" s="55"/>
      <c r="I84" s="55"/>
      <c r="J84" s="897">
        <f t="shared" ref="J84:O84" si="16">SUM(J53:J78)</f>
        <v>14.901260000000001</v>
      </c>
      <c r="K84" s="897">
        <f t="shared" si="16"/>
        <v>14.901260000000001</v>
      </c>
      <c r="L84" s="897">
        <f t="shared" si="16"/>
        <v>0</v>
      </c>
      <c r="M84" s="897">
        <f t="shared" si="16"/>
        <v>0</v>
      </c>
      <c r="N84" s="897">
        <f t="shared" si="16"/>
        <v>14.901260000000001</v>
      </c>
      <c r="O84" s="897">
        <f t="shared" si="16"/>
        <v>0</v>
      </c>
    </row>
    <row r="86" spans="2:15" x14ac:dyDescent="0.25">
      <c r="B86" s="248" t="s">
        <v>319</v>
      </c>
      <c r="C86" s="248"/>
      <c r="D86" s="449"/>
      <c r="E86" s="449"/>
      <c r="F86" s="449"/>
      <c r="G86" s="449"/>
      <c r="H86" s="449"/>
      <c r="I86" s="449"/>
      <c r="J86" s="449"/>
    </row>
    <row r="87" spans="2:15" x14ac:dyDescent="0.25">
      <c r="B87" s="248" t="s">
        <v>355</v>
      </c>
      <c r="C87" s="248"/>
      <c r="D87" s="449"/>
      <c r="E87" s="449"/>
      <c r="F87" s="449"/>
      <c r="G87" s="449"/>
      <c r="H87" s="449"/>
      <c r="I87" s="449"/>
      <c r="J87" s="449"/>
    </row>
  </sheetData>
  <mergeCells count="12">
    <mergeCell ref="K9:N10"/>
    <mergeCell ref="O9:O11"/>
    <mergeCell ref="P9:V11"/>
    <mergeCell ref="B9:B11"/>
    <mergeCell ref="C9:C11"/>
    <mergeCell ref="F9:F11"/>
    <mergeCell ref="G9:G11"/>
    <mergeCell ref="H9:H11"/>
    <mergeCell ref="I9:I11"/>
    <mergeCell ref="J9:J11"/>
    <mergeCell ref="E9:E11"/>
    <mergeCell ref="D9:D11"/>
  </mergeCells>
  <pageMargins left="0.27559055118110237" right="0.23622047244094491" top="0.32" bottom="0.31496062992125984" header="0.23622047244094491" footer="0.23622047244094491"/>
  <pageSetup paperSize="9" scale="63"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80F83-A2EF-4A87-BF14-940D39BBDA73}">
  <dimension ref="A1:AH107"/>
  <sheetViews>
    <sheetView showGridLines="0" view="pageBreakPreview" zoomScale="80" zoomScaleNormal="68" zoomScaleSheetLayoutView="80" workbookViewId="0">
      <selection activeCell="I33" sqref="I33"/>
    </sheetView>
  </sheetViews>
  <sheetFormatPr defaultColWidth="9.33203125" defaultRowHeight="13.8" x14ac:dyDescent="0.25"/>
  <cols>
    <col min="1" max="1" width="4.33203125" style="231" customWidth="1"/>
    <col min="2" max="2" width="6.33203125" style="231" customWidth="1"/>
    <col min="3" max="3" width="20.88671875" style="231" customWidth="1"/>
    <col min="4" max="4" width="14.109375" style="231" customWidth="1"/>
    <col min="5" max="5" width="13.44140625" style="231" customWidth="1"/>
    <col min="6" max="6" width="15.44140625" style="231" customWidth="1"/>
    <col min="7" max="8" width="18.6640625" style="231" customWidth="1"/>
    <col min="9" max="9" width="12.6640625" style="231" customWidth="1"/>
    <col min="10" max="10" width="16.109375" style="231" customWidth="1"/>
    <col min="11" max="11" width="13.5546875" style="231" customWidth="1"/>
    <col min="12" max="12" width="13.6640625" style="231" customWidth="1"/>
    <col min="13" max="13" width="13.5546875" style="231" customWidth="1"/>
    <col min="14" max="14" width="14.44140625" style="231" customWidth="1"/>
    <col min="15" max="15" width="14.33203125" style="231" customWidth="1"/>
    <col min="16" max="17" width="13.6640625" style="231" customWidth="1"/>
    <col min="18" max="18" width="14.44140625" style="231" customWidth="1"/>
    <col min="19" max="19" width="12.33203125" style="231" customWidth="1"/>
    <col min="20" max="23" width="18.6640625" style="231" customWidth="1"/>
    <col min="24" max="16384" width="9.33203125" style="231"/>
  </cols>
  <sheetData>
    <row r="1" spans="1:19" x14ac:dyDescent="0.25">
      <c r="B1" s="282"/>
    </row>
    <row r="2" spans="1:19" x14ac:dyDescent="0.25">
      <c r="B2" s="465"/>
      <c r="D2" s="466"/>
      <c r="E2" s="466"/>
      <c r="F2" s="233" t="str">
        <f>Index!B2</f>
        <v>JAIGAD POWER TRANSCO LIMITED (JPTL)</v>
      </c>
      <c r="G2" s="466"/>
      <c r="H2" s="466"/>
      <c r="I2" s="466"/>
      <c r="J2" s="466"/>
      <c r="K2" s="466"/>
      <c r="L2" s="466"/>
      <c r="M2" s="466"/>
      <c r="N2" s="466"/>
      <c r="O2" s="466"/>
      <c r="P2" s="466"/>
      <c r="Q2" s="466"/>
      <c r="R2" s="466"/>
      <c r="S2" s="466"/>
    </row>
    <row r="3" spans="1:19" x14ac:dyDescent="0.25">
      <c r="B3" s="465"/>
      <c r="D3" s="283"/>
      <c r="E3" s="283"/>
      <c r="F3" s="233" t="s">
        <v>356</v>
      </c>
      <c r="G3" s="283"/>
      <c r="H3" s="283"/>
      <c r="I3" s="283"/>
      <c r="J3" s="283"/>
      <c r="K3" s="283"/>
      <c r="L3" s="283"/>
      <c r="M3" s="283"/>
      <c r="N3" s="283"/>
      <c r="O3" s="283"/>
      <c r="P3" s="283"/>
      <c r="Q3" s="466"/>
      <c r="R3" s="466"/>
      <c r="S3" s="466"/>
    </row>
    <row r="4" spans="1:19" x14ac:dyDescent="0.25">
      <c r="B4" s="466"/>
      <c r="D4" s="466"/>
      <c r="E4" s="465"/>
      <c r="F4" s="458" t="s">
        <v>357</v>
      </c>
      <c r="G4" s="465"/>
      <c r="H4" s="465"/>
      <c r="I4" s="466"/>
      <c r="J4" s="466"/>
      <c r="K4" s="466"/>
      <c r="L4" s="466"/>
      <c r="M4" s="466"/>
      <c r="N4" s="466"/>
      <c r="O4" s="466"/>
      <c r="P4" s="466"/>
      <c r="Q4" s="466"/>
      <c r="R4" s="466"/>
      <c r="S4" s="466"/>
    </row>
    <row r="5" spans="1:19" x14ac:dyDescent="0.25">
      <c r="C5" s="282"/>
      <c r="E5" s="457"/>
      <c r="G5" s="457"/>
      <c r="H5" s="457"/>
    </row>
    <row r="6" spans="1:19" x14ac:dyDescent="0.25">
      <c r="C6" s="282"/>
      <c r="E6" s="457"/>
      <c r="G6" s="457"/>
      <c r="H6" s="457"/>
    </row>
    <row r="7" spans="1:19" x14ac:dyDescent="0.25">
      <c r="C7" s="282"/>
      <c r="E7" s="457"/>
      <c r="G7" s="457"/>
      <c r="H7" s="457"/>
    </row>
    <row r="8" spans="1:19" x14ac:dyDescent="0.25">
      <c r="C8" s="282"/>
      <c r="E8" s="457"/>
      <c r="G8" s="457"/>
      <c r="H8" s="457"/>
      <c r="J8" s="557"/>
    </row>
    <row r="9" spans="1:19" x14ac:dyDescent="0.25">
      <c r="C9" s="282"/>
      <c r="E9" s="457"/>
      <c r="G9" s="457"/>
      <c r="H9" s="457"/>
    </row>
    <row r="10" spans="1:19" x14ac:dyDescent="0.25">
      <c r="A10" s="231" t="s">
        <v>358</v>
      </c>
      <c r="B10" s="282" t="s">
        <v>359</v>
      </c>
      <c r="C10" s="282"/>
      <c r="D10" s="282"/>
      <c r="E10" s="282"/>
      <c r="F10" s="282"/>
      <c r="G10" s="282"/>
      <c r="I10" s="457"/>
      <c r="K10" s="457"/>
      <c r="L10" s="457"/>
      <c r="O10" s="1"/>
    </row>
    <row r="11" spans="1:19" x14ac:dyDescent="0.25">
      <c r="B11" s="467"/>
      <c r="C11" s="465"/>
      <c r="D11" s="556"/>
      <c r="E11" s="556"/>
      <c r="F11" s="556"/>
      <c r="G11" s="556"/>
      <c r="H11" s="557"/>
      <c r="I11" s="558"/>
      <c r="J11" s="557"/>
      <c r="K11" s="558"/>
      <c r="L11" s="558"/>
      <c r="O11" s="1"/>
      <c r="S11" s="234" t="s">
        <v>73</v>
      </c>
    </row>
    <row r="12" spans="1:19" ht="15.75" customHeight="1" x14ac:dyDescent="0.25">
      <c r="B12" s="1080" t="s">
        <v>1</v>
      </c>
      <c r="C12" s="1080" t="s">
        <v>74</v>
      </c>
      <c r="D12" s="1092" t="s">
        <v>75</v>
      </c>
      <c r="E12" s="1092"/>
      <c r="F12" s="1092"/>
      <c r="G12" s="1092"/>
      <c r="H12" s="1092" t="s">
        <v>76</v>
      </c>
      <c r="I12" s="1092"/>
      <c r="J12" s="1092"/>
      <c r="K12" s="1092"/>
      <c r="L12" s="1091" t="s">
        <v>77</v>
      </c>
      <c r="M12" s="1080"/>
      <c r="N12" s="1080"/>
      <c r="O12" s="1080"/>
      <c r="P12" s="1080" t="s">
        <v>87</v>
      </c>
      <c r="Q12" s="1080"/>
      <c r="R12" s="1080"/>
      <c r="S12" s="1080"/>
    </row>
    <row r="13" spans="1:19" ht="15.75" customHeight="1" x14ac:dyDescent="0.25">
      <c r="B13" s="1080"/>
      <c r="C13" s="1080"/>
      <c r="D13" s="1092" t="s">
        <v>134</v>
      </c>
      <c r="E13" s="1093"/>
      <c r="F13" s="1093"/>
      <c r="G13" s="1093"/>
      <c r="H13" s="1092" t="s">
        <v>134</v>
      </c>
      <c r="I13" s="1093"/>
      <c r="J13" s="1093"/>
      <c r="K13" s="1093"/>
      <c r="L13" s="1092" t="s">
        <v>135</v>
      </c>
      <c r="M13" s="1094"/>
      <c r="N13" s="1094"/>
      <c r="O13" s="1094"/>
      <c r="P13" s="1095" t="s">
        <v>103</v>
      </c>
      <c r="Q13" s="1094"/>
      <c r="R13" s="1094"/>
      <c r="S13" s="1094"/>
    </row>
    <row r="14" spans="1:19" ht="41.4" x14ac:dyDescent="0.25">
      <c r="B14" s="1080"/>
      <c r="C14" s="1080"/>
      <c r="D14" s="554" t="s">
        <v>360</v>
      </c>
      <c r="E14" s="554" t="s">
        <v>361</v>
      </c>
      <c r="F14" s="554" t="s">
        <v>362</v>
      </c>
      <c r="G14" s="554" t="s">
        <v>363</v>
      </c>
      <c r="H14" s="554" t="s">
        <v>360</v>
      </c>
      <c r="I14" s="554" t="s">
        <v>361</v>
      </c>
      <c r="J14" s="554" t="s">
        <v>362</v>
      </c>
      <c r="K14" s="554" t="s">
        <v>363</v>
      </c>
      <c r="L14" s="554" t="s">
        <v>360</v>
      </c>
      <c r="M14" s="424" t="s">
        <v>361</v>
      </c>
      <c r="N14" s="424" t="s">
        <v>362</v>
      </c>
      <c r="O14" s="424" t="s">
        <v>363</v>
      </c>
      <c r="P14" s="424" t="s">
        <v>360</v>
      </c>
      <c r="Q14" s="424" t="s">
        <v>361</v>
      </c>
      <c r="R14" s="424" t="s">
        <v>362</v>
      </c>
      <c r="S14" s="424" t="s">
        <v>363</v>
      </c>
    </row>
    <row r="15" spans="1:19" s="456" customFormat="1" ht="27.6" x14ac:dyDescent="0.25">
      <c r="B15" s="418"/>
      <c r="C15" s="418"/>
      <c r="D15" s="554" t="s">
        <v>92</v>
      </c>
      <c r="E15" s="554" t="s">
        <v>93</v>
      </c>
      <c r="F15" s="554" t="s">
        <v>191</v>
      </c>
      <c r="G15" s="554" t="s">
        <v>364</v>
      </c>
      <c r="H15" s="554" t="s">
        <v>95</v>
      </c>
      <c r="I15" s="554" t="s">
        <v>96</v>
      </c>
      <c r="J15" s="554" t="s">
        <v>365</v>
      </c>
      <c r="K15" s="554" t="s">
        <v>366</v>
      </c>
      <c r="L15" s="554" t="s">
        <v>98</v>
      </c>
      <c r="M15" s="418" t="s">
        <v>99</v>
      </c>
      <c r="N15" s="418" t="s">
        <v>367</v>
      </c>
      <c r="O15" s="418" t="s">
        <v>368</v>
      </c>
      <c r="P15" s="418" t="s">
        <v>369</v>
      </c>
      <c r="Q15" s="418" t="s">
        <v>370</v>
      </c>
      <c r="R15" s="418" t="s">
        <v>371</v>
      </c>
      <c r="S15" s="418" t="s">
        <v>372</v>
      </c>
    </row>
    <row r="16" spans="1:19" s="457" customFormat="1" x14ac:dyDescent="0.25">
      <c r="B16" s="468">
        <v>1</v>
      </c>
      <c r="C16" s="469" t="s">
        <v>732</v>
      </c>
      <c r="D16" s="524">
        <f>+'F4.1 (E) Exisiting'!D16</f>
        <v>0</v>
      </c>
      <c r="E16" s="524">
        <f>+'F4.1 (E) Exisiting'!E16</f>
        <v>0.69781309999999996</v>
      </c>
      <c r="F16" s="524">
        <f>+'F4.1 (E) Exisiting'!F16</f>
        <v>0</v>
      </c>
      <c r="G16" s="524">
        <f>+D16+E16-F16</f>
        <v>0.69781309999999996</v>
      </c>
      <c r="H16" s="526">
        <f>+G16</f>
        <v>0.69781309999999996</v>
      </c>
      <c r="I16" s="527">
        <f>+'F4.1 (E) Exisiting'!J16</f>
        <v>0</v>
      </c>
      <c r="J16" s="527">
        <f>+'F4.1 (E) Exisiting'!K16</f>
        <v>0</v>
      </c>
      <c r="K16" s="524">
        <f>+H16+I16-J16</f>
        <v>0.69781309999999996</v>
      </c>
      <c r="L16" s="526">
        <f>+K16</f>
        <v>0.69781309999999996</v>
      </c>
      <c r="M16" s="527">
        <f>+'F4.1 (E) Exisiting'!O16</f>
        <v>0</v>
      </c>
      <c r="N16" s="527">
        <f>+'F4.1 (E) Exisiting'!P16</f>
        <v>0</v>
      </c>
      <c r="O16" s="524">
        <f>+L16+M16-N16</f>
        <v>0.69781309999999996</v>
      </c>
      <c r="P16" s="526">
        <f>+O16+'F4.1 (N) New'!D19</f>
        <v>0.69781309999999996</v>
      </c>
      <c r="Q16" s="527">
        <f>+'F4.1 (E) Exisiting'!T16+'F4.1 (N) New'!E19</f>
        <v>0</v>
      </c>
      <c r="R16" s="527">
        <f>+'F4.1 (E) Exisiting'!U16+'F4.1 (N) New'!F19</f>
        <v>0</v>
      </c>
      <c r="S16" s="524">
        <f>+P16+Q16-R16</f>
        <v>0.69781309999999996</v>
      </c>
    </row>
    <row r="17" spans="2:19" s="457" customFormat="1" x14ac:dyDescent="0.25">
      <c r="B17" s="468">
        <f>+B16+1</f>
        <v>2</v>
      </c>
      <c r="C17" s="469" t="s">
        <v>265</v>
      </c>
      <c r="D17" s="524">
        <f>+'F4.1 (E) Exisiting'!D17</f>
        <v>551.3982668000001</v>
      </c>
      <c r="E17" s="524">
        <f>+'F4.1 (E) Exisiting'!E17</f>
        <v>1.0697393930000001</v>
      </c>
      <c r="F17" s="524">
        <f>+'F4.1 (E) Exisiting'!F17</f>
        <v>0</v>
      </c>
      <c r="G17" s="524">
        <f t="shared" ref="G17:G21" si="0">+D17+E17-F17</f>
        <v>552.46800619300006</v>
      </c>
      <c r="H17" s="526">
        <f t="shared" ref="H17:H21" si="1">+G17</f>
        <v>552.46800619300006</v>
      </c>
      <c r="I17" s="527">
        <f>+'F4.1 (E) Exisiting'!J17</f>
        <v>1.2281507000000001E-2</v>
      </c>
      <c r="J17" s="527">
        <f>+'F4.1 (E) Exisiting'!K17</f>
        <v>0</v>
      </c>
      <c r="K17" s="524">
        <f t="shared" ref="K17:K21" si="2">+H17+I17-J17</f>
        <v>552.48028770000008</v>
      </c>
      <c r="L17" s="526">
        <f t="shared" ref="L17:L21" si="3">+K17</f>
        <v>552.48028770000008</v>
      </c>
      <c r="M17" s="527">
        <f>+'F4.1 (E) Exisiting'!O17</f>
        <v>0.6</v>
      </c>
      <c r="N17" s="527">
        <f>+'F4.1 (E) Exisiting'!P17</f>
        <v>0</v>
      </c>
      <c r="O17" s="524">
        <f t="shared" ref="O17:O21" si="4">+L17+M17-N17</f>
        <v>553.0802877000001</v>
      </c>
      <c r="P17" s="526">
        <f>+O17+'F4.1 (N) New'!D20</f>
        <v>553.0802877000001</v>
      </c>
      <c r="Q17" s="527">
        <f>+'F4.1 (E) Exisiting'!T17+'F4.1 (N) New'!E20</f>
        <v>9.9450000000000003</v>
      </c>
      <c r="R17" s="527">
        <f>+'F4.1 (E) Exisiting'!U17+'F4.1 (N) New'!F20</f>
        <v>0</v>
      </c>
      <c r="S17" s="524">
        <f t="shared" ref="S17:S21" si="5">+P17+Q17-R17</f>
        <v>563.02528770000015</v>
      </c>
    </row>
    <row r="18" spans="2:19" s="457" customFormat="1" x14ac:dyDescent="0.25">
      <c r="B18" s="468">
        <f t="shared" ref="B18:B21" si="6">+B17+1</f>
        <v>3</v>
      </c>
      <c r="C18" s="238" t="s">
        <v>272</v>
      </c>
      <c r="D18" s="524">
        <f>+'F4.1 (E) Exisiting'!D18</f>
        <v>0.16343830000000001</v>
      </c>
      <c r="E18" s="524">
        <f>+'F4.1 (E) Exisiting'!E18</f>
        <v>5.6996949999999998E-2</v>
      </c>
      <c r="F18" s="524">
        <f>+'F4.1 (E) Exisiting'!F18</f>
        <v>0</v>
      </c>
      <c r="G18" s="524">
        <f t="shared" si="0"/>
        <v>0.22043525</v>
      </c>
      <c r="H18" s="526">
        <f t="shared" si="1"/>
        <v>0.22043525</v>
      </c>
      <c r="I18" s="527">
        <f>+'F4.1 (E) Exisiting'!J18</f>
        <v>0.412794155</v>
      </c>
      <c r="J18" s="527">
        <f>+'F4.1 (E) Exisiting'!K18</f>
        <v>-4.8152260000000006E-3</v>
      </c>
      <c r="K18" s="524">
        <f t="shared" si="2"/>
        <v>0.63804463099999997</v>
      </c>
      <c r="L18" s="526">
        <f t="shared" si="3"/>
        <v>0.63804463099999997</v>
      </c>
      <c r="M18" s="527">
        <f>+'F4.1 (E) Exisiting'!O18</f>
        <v>0</v>
      </c>
      <c r="N18" s="527">
        <f>+'F4.1 (E) Exisiting'!P18</f>
        <v>0</v>
      </c>
      <c r="O18" s="524">
        <f t="shared" si="4"/>
        <v>0.63804463099999997</v>
      </c>
      <c r="P18" s="526">
        <f>+O18+'F4.1 (N) New'!D21</f>
        <v>0.63804463099999997</v>
      </c>
      <c r="Q18" s="527">
        <f>+'F4.1 (E) Exisiting'!T18+'F4.1 (N) New'!E21</f>
        <v>4.2500000000000003E-2</v>
      </c>
      <c r="R18" s="527">
        <f>+'F4.1 (E) Exisiting'!U18+'F4.1 (N) New'!F21</f>
        <v>0</v>
      </c>
      <c r="S18" s="524">
        <f t="shared" si="5"/>
        <v>0.68054463099999996</v>
      </c>
    </row>
    <row r="19" spans="2:19" x14ac:dyDescent="0.25">
      <c r="B19" s="468">
        <f t="shared" si="6"/>
        <v>4</v>
      </c>
      <c r="C19" s="469" t="s">
        <v>769</v>
      </c>
      <c r="D19" s="524">
        <f>+'F4.1 (E) Exisiting'!D19</f>
        <v>3.7559100000000005E-2</v>
      </c>
      <c r="E19" s="524">
        <f>+'F4.1 (E) Exisiting'!E19</f>
        <v>8.1345660000000011E-3</v>
      </c>
      <c r="F19" s="524">
        <f>+'F4.1 (E) Exisiting'!F19</f>
        <v>-5.8401E-3</v>
      </c>
      <c r="G19" s="524">
        <f t="shared" si="0"/>
        <v>5.1533766000000009E-2</v>
      </c>
      <c r="H19" s="526">
        <f t="shared" si="1"/>
        <v>5.1533766000000009E-2</v>
      </c>
      <c r="I19" s="527">
        <f>+'F4.1 (E) Exisiting'!J19</f>
        <v>3.1588600000000001E-2</v>
      </c>
      <c r="J19" s="527">
        <f>+'F4.1 (E) Exisiting'!K19</f>
        <v>-5.6958E-3</v>
      </c>
      <c r="K19" s="524">
        <f t="shared" si="2"/>
        <v>8.8818166000000004E-2</v>
      </c>
      <c r="L19" s="526">
        <f t="shared" si="3"/>
        <v>8.8818166000000004E-2</v>
      </c>
      <c r="M19" s="527">
        <f>+'F4.1 (E) Exisiting'!O19</f>
        <v>0</v>
      </c>
      <c r="N19" s="527">
        <f>+'F4.1 (E) Exisiting'!P19</f>
        <v>0</v>
      </c>
      <c r="O19" s="524">
        <f t="shared" si="4"/>
        <v>8.8818166000000004E-2</v>
      </c>
      <c r="P19" s="526">
        <f>+O19+'F4.1 (N) New'!D22</f>
        <v>8.8818166000000004E-2</v>
      </c>
      <c r="Q19" s="527">
        <f>+'F4.1 (E) Exisiting'!T19+'F4.1 (N) New'!E22</f>
        <v>0.03</v>
      </c>
      <c r="R19" s="527">
        <f>+'F4.1 (E) Exisiting'!U19+'F4.1 (N) New'!F22</f>
        <v>0</v>
      </c>
      <c r="S19" s="524">
        <f t="shared" si="5"/>
        <v>0.118818166</v>
      </c>
    </row>
    <row r="20" spans="2:19" x14ac:dyDescent="0.25">
      <c r="B20" s="468">
        <f t="shared" si="6"/>
        <v>5</v>
      </c>
      <c r="C20" s="469" t="s">
        <v>770</v>
      </c>
      <c r="D20" s="524">
        <f>+'F4.1 (E) Exisiting'!D20</f>
        <v>0.12839490000000001</v>
      </c>
      <c r="E20" s="524">
        <f>+'F4.1 (E) Exisiting'!E20</f>
        <v>0.18204314099999999</v>
      </c>
      <c r="F20" s="524">
        <f>+'F4.1 (E) Exisiting'!F20</f>
        <v>0</v>
      </c>
      <c r="G20" s="524">
        <f t="shared" si="0"/>
        <v>0.310438041</v>
      </c>
      <c r="H20" s="526">
        <f t="shared" si="1"/>
        <v>0.310438041</v>
      </c>
      <c r="I20" s="527">
        <f>+'F4.1 (E) Exisiting'!J20</f>
        <v>0</v>
      </c>
      <c r="J20" s="527">
        <f>+'F4.1 (E) Exisiting'!K20</f>
        <v>-1.59317E-2</v>
      </c>
      <c r="K20" s="524">
        <f t="shared" si="2"/>
        <v>0.32636974099999999</v>
      </c>
      <c r="L20" s="526">
        <f t="shared" si="3"/>
        <v>0.32636974099999999</v>
      </c>
      <c r="M20" s="527">
        <f>+'F4.1 (E) Exisiting'!O20</f>
        <v>0</v>
      </c>
      <c r="N20" s="527">
        <f>+'F4.1 (E) Exisiting'!P20</f>
        <v>0</v>
      </c>
      <c r="O20" s="524">
        <f t="shared" si="4"/>
        <v>0.32636974099999999</v>
      </c>
      <c r="P20" s="526">
        <f>+O20+'F4.1 (N) New'!D23</f>
        <v>0.32636974099999999</v>
      </c>
      <c r="Q20" s="527">
        <f>+'F4.1 (E) Exisiting'!T20+'F4.1 (N) New'!E23</f>
        <v>0</v>
      </c>
      <c r="R20" s="527">
        <f>+'F4.1 (E) Exisiting'!U20+'F4.1 (N) New'!F23</f>
        <v>0</v>
      </c>
      <c r="S20" s="524">
        <f t="shared" si="5"/>
        <v>0.32636974099999999</v>
      </c>
    </row>
    <row r="21" spans="2:19" x14ac:dyDescent="0.25">
      <c r="B21" s="468">
        <f t="shared" si="6"/>
        <v>6</v>
      </c>
      <c r="C21" s="469" t="s">
        <v>266</v>
      </c>
      <c r="D21" s="524">
        <f>+'F4.1 (E) Exisiting'!D21</f>
        <v>0</v>
      </c>
      <c r="E21" s="524">
        <f>+'F4.1 (E) Exisiting'!E21</f>
        <v>2.959377253</v>
      </c>
      <c r="F21" s="524">
        <f>+'F4.1 (E) Exisiting'!F21</f>
        <v>0</v>
      </c>
      <c r="G21" s="524">
        <f t="shared" si="0"/>
        <v>2.959377253</v>
      </c>
      <c r="H21" s="526">
        <f t="shared" si="1"/>
        <v>2.959377253</v>
      </c>
      <c r="I21" s="527">
        <f>+'F4.1 (E) Exisiting'!J21</f>
        <v>0</v>
      </c>
      <c r="J21" s="527">
        <f>+'F4.1 (E) Exisiting'!K21</f>
        <v>0</v>
      </c>
      <c r="K21" s="524">
        <f t="shared" si="2"/>
        <v>2.959377253</v>
      </c>
      <c r="L21" s="526">
        <f t="shared" si="3"/>
        <v>2.959377253</v>
      </c>
      <c r="M21" s="527">
        <f>+'F4.1 (E) Exisiting'!O21</f>
        <v>0</v>
      </c>
      <c r="N21" s="527">
        <f>+'F4.1 (E) Exisiting'!P21</f>
        <v>0</v>
      </c>
      <c r="O21" s="524">
        <f t="shared" si="4"/>
        <v>2.959377253</v>
      </c>
      <c r="P21" s="526">
        <f>+O21+'F4.1 (N) New'!D24</f>
        <v>2.959377253</v>
      </c>
      <c r="Q21" s="527">
        <f>+'F4.1 (E) Exisiting'!T21+'F4.1 (N) New'!E24</f>
        <v>0.17</v>
      </c>
      <c r="R21" s="527">
        <f>+'F4.1 (E) Exisiting'!U21+'F4.1 (N) New'!F24</f>
        <v>0</v>
      </c>
      <c r="S21" s="524">
        <f t="shared" si="5"/>
        <v>3.1293772529999999</v>
      </c>
    </row>
    <row r="22" spans="2:19" x14ac:dyDescent="0.25">
      <c r="B22" s="237"/>
      <c r="C22" s="470"/>
      <c r="D22" s="470"/>
      <c r="E22" s="470"/>
      <c r="F22" s="470"/>
      <c r="G22" s="470"/>
      <c r="H22" s="237"/>
      <c r="I22" s="471"/>
      <c r="J22" s="471"/>
      <c r="K22" s="470"/>
      <c r="L22" s="237"/>
      <c r="M22" s="471"/>
      <c r="N22" s="471"/>
      <c r="O22" s="470"/>
      <c r="P22" s="237"/>
      <c r="Q22" s="471"/>
      <c r="R22" s="471"/>
      <c r="S22" s="237"/>
    </row>
    <row r="23" spans="2:19" ht="16.8" x14ac:dyDescent="0.25">
      <c r="B23" s="472"/>
      <c r="C23" s="473" t="s">
        <v>180</v>
      </c>
      <c r="D23" s="525">
        <f>SUM(D16:D22)</f>
        <v>551.7276591000001</v>
      </c>
      <c r="E23" s="525">
        <f t="shared" ref="E23:S23" si="7">SUM(E16:E22)</f>
        <v>4.9741044030000001</v>
      </c>
      <c r="F23" s="525">
        <f t="shared" si="7"/>
        <v>-5.8401E-3</v>
      </c>
      <c r="G23" s="525">
        <f t="shared" si="7"/>
        <v>556.70760360300005</v>
      </c>
      <c r="H23" s="525">
        <f t="shared" si="7"/>
        <v>556.70760360300005</v>
      </c>
      <c r="I23" s="525">
        <f t="shared" si="7"/>
        <v>0.45666426200000004</v>
      </c>
      <c r="J23" s="525">
        <f t="shared" si="7"/>
        <v>-2.6442726E-2</v>
      </c>
      <c r="K23" s="525">
        <f t="shared" si="7"/>
        <v>557.19071059099997</v>
      </c>
      <c r="L23" s="525">
        <f t="shared" si="7"/>
        <v>557.19071059099997</v>
      </c>
      <c r="M23" s="525">
        <f t="shared" si="7"/>
        <v>0.6</v>
      </c>
      <c r="N23" s="525">
        <f t="shared" si="7"/>
        <v>0</v>
      </c>
      <c r="O23" s="525">
        <f t="shared" si="7"/>
        <v>557.79071059099999</v>
      </c>
      <c r="P23" s="525">
        <f t="shared" si="7"/>
        <v>557.79071059099999</v>
      </c>
      <c r="Q23" s="525">
        <f t="shared" si="7"/>
        <v>10.1875</v>
      </c>
      <c r="R23" s="525">
        <f t="shared" si="7"/>
        <v>0</v>
      </c>
      <c r="S23" s="525">
        <f t="shared" si="7"/>
        <v>567.97821059100011</v>
      </c>
    </row>
    <row r="24" spans="2:19" x14ac:dyDescent="0.25">
      <c r="B24" s="282"/>
      <c r="C24" s="465"/>
      <c r="D24" s="465"/>
      <c r="E24" s="465"/>
      <c r="F24" s="465"/>
      <c r="G24" s="465"/>
      <c r="I24" s="457"/>
      <c r="K24" s="457"/>
      <c r="L24" s="457"/>
    </row>
    <row r="25" spans="2:19" x14ac:dyDescent="0.25">
      <c r="B25" s="1096" t="s">
        <v>373</v>
      </c>
      <c r="C25" s="1096"/>
      <c r="D25" s="1096"/>
      <c r="E25" s="1096"/>
      <c r="F25" s="1096"/>
      <c r="G25" s="1096"/>
      <c r="I25" s="457"/>
      <c r="K25" s="457"/>
      <c r="L25" s="457"/>
    </row>
    <row r="26" spans="2:19" x14ac:dyDescent="0.25">
      <c r="B26" s="282"/>
      <c r="C26" s="465"/>
      <c r="D26" s="465"/>
      <c r="E26" s="465"/>
      <c r="F26" s="465"/>
      <c r="G26" s="465"/>
      <c r="I26" s="457"/>
      <c r="K26" s="457"/>
      <c r="L26" s="457"/>
    </row>
    <row r="27" spans="2:19" x14ac:dyDescent="0.25">
      <c r="B27" s="282"/>
      <c r="C27" s="465"/>
      <c r="D27" s="465"/>
      <c r="E27" s="465"/>
      <c r="F27" s="465"/>
      <c r="G27" s="465"/>
      <c r="I27" s="457"/>
      <c r="K27" s="457"/>
      <c r="L27" s="457"/>
      <c r="S27" s="234" t="s">
        <v>73</v>
      </c>
    </row>
    <row r="28" spans="2:19" ht="15.75" customHeight="1" x14ac:dyDescent="0.25">
      <c r="B28" s="1080" t="s">
        <v>1</v>
      </c>
      <c r="C28" s="1080" t="s">
        <v>74</v>
      </c>
      <c r="D28" s="1097" t="s">
        <v>88</v>
      </c>
      <c r="E28" s="1098"/>
      <c r="F28" s="1098"/>
      <c r="G28" s="1099"/>
      <c r="H28" s="1080" t="s">
        <v>89</v>
      </c>
      <c r="I28" s="1080"/>
      <c r="J28" s="1080"/>
      <c r="K28" s="1080"/>
      <c r="L28" s="1080" t="s">
        <v>90</v>
      </c>
      <c r="M28" s="1080"/>
      <c r="N28" s="1080"/>
      <c r="O28" s="1080"/>
      <c r="P28" s="1080" t="s">
        <v>91</v>
      </c>
      <c r="Q28" s="1080"/>
      <c r="R28" s="1080"/>
      <c r="S28" s="1080"/>
    </row>
    <row r="29" spans="2:19" ht="15.75" customHeight="1" x14ac:dyDescent="0.25">
      <c r="B29" s="1080"/>
      <c r="C29" s="1080"/>
      <c r="D29" s="1095" t="s">
        <v>103</v>
      </c>
      <c r="E29" s="1100"/>
      <c r="F29" s="1100"/>
      <c r="G29" s="1100"/>
      <c r="H29" s="1095" t="s">
        <v>103</v>
      </c>
      <c r="I29" s="1100"/>
      <c r="J29" s="1100"/>
      <c r="K29" s="1100"/>
      <c r="L29" s="1095" t="s">
        <v>103</v>
      </c>
      <c r="M29" s="1100"/>
      <c r="N29" s="1100"/>
      <c r="O29" s="1100"/>
      <c r="P29" s="1095" t="s">
        <v>103</v>
      </c>
      <c r="Q29" s="1100"/>
      <c r="R29" s="1100"/>
      <c r="S29" s="1100"/>
    </row>
    <row r="30" spans="2:19" ht="41.4" x14ac:dyDescent="0.25">
      <c r="B30" s="1080"/>
      <c r="C30" s="1080"/>
      <c r="D30" s="424" t="s">
        <v>360</v>
      </c>
      <c r="E30" s="424" t="s">
        <v>361</v>
      </c>
      <c r="F30" s="424" t="s">
        <v>362</v>
      </c>
      <c r="G30" s="424" t="s">
        <v>363</v>
      </c>
      <c r="H30" s="424" t="s">
        <v>360</v>
      </c>
      <c r="I30" s="424" t="s">
        <v>361</v>
      </c>
      <c r="J30" s="424" t="s">
        <v>362</v>
      </c>
      <c r="K30" s="424" t="s">
        <v>363</v>
      </c>
      <c r="L30" s="424" t="s">
        <v>360</v>
      </c>
      <c r="M30" s="424" t="s">
        <v>361</v>
      </c>
      <c r="N30" s="424" t="s">
        <v>362</v>
      </c>
      <c r="O30" s="424" t="s">
        <v>363</v>
      </c>
      <c r="P30" s="424" t="s">
        <v>360</v>
      </c>
      <c r="Q30" s="424" t="s">
        <v>361</v>
      </c>
      <c r="R30" s="424" t="s">
        <v>362</v>
      </c>
      <c r="S30" s="424" t="s">
        <v>363</v>
      </c>
    </row>
    <row r="31" spans="2:19" s="456" customFormat="1" ht="27.6" x14ac:dyDescent="0.25">
      <c r="B31" s="418"/>
      <c r="C31" s="418"/>
      <c r="D31" s="418" t="s">
        <v>374</v>
      </c>
      <c r="E31" s="418" t="s">
        <v>375</v>
      </c>
      <c r="F31" s="418" t="s">
        <v>376</v>
      </c>
      <c r="G31" s="418" t="s">
        <v>377</v>
      </c>
      <c r="H31" s="418" t="s">
        <v>378</v>
      </c>
      <c r="I31" s="418" t="s">
        <v>379</v>
      </c>
      <c r="J31" s="418" t="s">
        <v>380</v>
      </c>
      <c r="K31" s="418" t="s">
        <v>381</v>
      </c>
      <c r="L31" s="418" t="s">
        <v>382</v>
      </c>
      <c r="M31" s="418" t="s">
        <v>383</v>
      </c>
      <c r="N31" s="418" t="s">
        <v>384</v>
      </c>
      <c r="O31" s="418" t="s">
        <v>385</v>
      </c>
      <c r="P31" s="418" t="s">
        <v>386</v>
      </c>
      <c r="Q31" s="418" t="s">
        <v>387</v>
      </c>
      <c r="R31" s="418" t="s">
        <v>388</v>
      </c>
      <c r="S31" s="418" t="s">
        <v>389</v>
      </c>
    </row>
    <row r="32" spans="2:19" s="457" customFormat="1" x14ac:dyDescent="0.25">
      <c r="B32" s="468">
        <v>1</v>
      </c>
      <c r="C32" s="469" t="s">
        <v>732</v>
      </c>
      <c r="D32" s="524">
        <f>+S16</f>
        <v>0.69781309999999996</v>
      </c>
      <c r="E32" s="527">
        <f>+'F4.1 (E) Exisiting'!E32+'F4.1 (N) New'!J19</f>
        <v>0</v>
      </c>
      <c r="F32" s="527">
        <f>+'F4.1 (E) Exisiting'!F32+'F4.1 (N) New'!K19</f>
        <v>0</v>
      </c>
      <c r="G32" s="524">
        <f>+D32+E32-F32</f>
        <v>0.69781309999999996</v>
      </c>
      <c r="H32" s="526">
        <f>+G32</f>
        <v>0.69781309999999996</v>
      </c>
      <c r="I32" s="527">
        <f>+'F4.1 (E) Exisiting'!J32+'F4.1 (N) New'!O19</f>
        <v>0</v>
      </c>
      <c r="J32" s="527">
        <f>+'F4.1 (E) Exisiting'!K32+'F4.1 (N) New'!P19</f>
        <v>0</v>
      </c>
      <c r="K32" s="524">
        <f>+H32+I32-J32</f>
        <v>0.69781309999999996</v>
      </c>
      <c r="L32" s="526">
        <f>+K32</f>
        <v>0.69781309999999996</v>
      </c>
      <c r="M32" s="527">
        <f>+'F4.1 (E) Exisiting'!O32+'F4.1 (N) New'!T19</f>
        <v>0</v>
      </c>
      <c r="N32" s="527">
        <f>+'F4.1 (E) Exisiting'!P32+'F4.1 (N) New'!U19</f>
        <v>0</v>
      </c>
      <c r="O32" s="524">
        <f>+L32+M32-N32</f>
        <v>0.69781309999999996</v>
      </c>
      <c r="P32" s="526">
        <f>+O32</f>
        <v>0.69781309999999996</v>
      </c>
      <c r="Q32" s="527">
        <f>+'F4.1 (E) Exisiting'!T32+'F4.1 (N) New'!Y19</f>
        <v>0</v>
      </c>
      <c r="R32" s="527">
        <f>+'F4.1 (E) Exisiting'!U32+'F4.1 (N) New'!Z19</f>
        <v>0</v>
      </c>
      <c r="S32" s="524">
        <f>+P32+Q32-R32</f>
        <v>0.69781309999999996</v>
      </c>
    </row>
    <row r="33" spans="2:22" s="457" customFormat="1" x14ac:dyDescent="0.25">
      <c r="B33" s="468">
        <f>+B32+1</f>
        <v>2</v>
      </c>
      <c r="C33" s="469" t="s">
        <v>265</v>
      </c>
      <c r="D33" s="524">
        <f t="shared" ref="D33:D37" si="8">+S17</f>
        <v>563.02528770000015</v>
      </c>
      <c r="E33" s="527">
        <f>+'F4.1 (E) Exisiting'!E33+'F4.1 (N) New'!J20</f>
        <v>0.4</v>
      </c>
      <c r="F33" s="527">
        <f>+'F4.1 (E) Exisiting'!F33+'F4.1 (N) New'!K20</f>
        <v>0</v>
      </c>
      <c r="G33" s="524">
        <f t="shared" ref="G33:G37" si="9">+D33+E33-F33</f>
        <v>563.42528770000013</v>
      </c>
      <c r="H33" s="526">
        <f t="shared" ref="H33:H37" si="10">+G33</f>
        <v>563.42528770000013</v>
      </c>
      <c r="I33" s="527">
        <f>+'F4.1 (E) Exisiting'!J33+'F4.1 (N) New'!O20</f>
        <v>3.18</v>
      </c>
      <c r="J33" s="527">
        <f>+'F4.1 (E) Exisiting'!K33+'F4.1 (N) New'!P20</f>
        <v>0</v>
      </c>
      <c r="K33" s="524">
        <f t="shared" ref="K33:K37" si="11">+H33+I33-J33</f>
        <v>566.60528770000008</v>
      </c>
      <c r="L33" s="526">
        <f t="shared" ref="L33:L37" si="12">+K33</f>
        <v>566.60528770000008</v>
      </c>
      <c r="M33" s="527">
        <f>+'F4.1 (E) Exisiting'!O33+'F4.1 (N) New'!T20</f>
        <v>1.1337600000000001</v>
      </c>
      <c r="N33" s="527">
        <f>+'F4.1 (E) Exisiting'!P33+'F4.1 (N) New'!U20</f>
        <v>0</v>
      </c>
      <c r="O33" s="524">
        <f t="shared" ref="O33:O37" si="13">+L33+M33-N33</f>
        <v>567.73904770000013</v>
      </c>
      <c r="P33" s="526">
        <f t="shared" ref="P33:P37" si="14">+O33</f>
        <v>567.73904770000013</v>
      </c>
      <c r="Q33" s="527">
        <f>+'F4.1 (E) Exisiting'!T33+'F4.1 (N) New'!Y20</f>
        <v>0</v>
      </c>
      <c r="R33" s="527">
        <f>+'F4.1 (E) Exisiting'!U33+'F4.1 (N) New'!Z20</f>
        <v>0</v>
      </c>
      <c r="S33" s="524">
        <f t="shared" ref="S33:S37" si="15">+P33+Q33-R33</f>
        <v>567.73904770000013</v>
      </c>
    </row>
    <row r="34" spans="2:22" s="457" customFormat="1" x14ac:dyDescent="0.25">
      <c r="B34" s="468">
        <f t="shared" ref="B34:B37" si="16">+B33+1</f>
        <v>3</v>
      </c>
      <c r="C34" s="238" t="s">
        <v>272</v>
      </c>
      <c r="D34" s="524">
        <f t="shared" si="8"/>
        <v>0.68054463099999996</v>
      </c>
      <c r="E34" s="527">
        <f>+'F4.1 (E) Exisiting'!E34+'F4.1 (N) New'!J21</f>
        <v>0</v>
      </c>
      <c r="F34" s="527">
        <f>+'F4.1 (E) Exisiting'!F34+'F4.1 (N) New'!K21</f>
        <v>0</v>
      </c>
      <c r="G34" s="524">
        <f t="shared" si="9"/>
        <v>0.68054463099999996</v>
      </c>
      <c r="H34" s="526">
        <f t="shared" si="10"/>
        <v>0.68054463099999996</v>
      </c>
      <c r="I34" s="527">
        <f>+'F4.1 (E) Exisiting'!J34+'F4.1 (N) New'!O21</f>
        <v>0</v>
      </c>
      <c r="J34" s="527">
        <f>+'F4.1 (E) Exisiting'!K34+'F4.1 (N) New'!P21</f>
        <v>0</v>
      </c>
      <c r="K34" s="524">
        <f t="shared" si="11"/>
        <v>0.68054463099999996</v>
      </c>
      <c r="L34" s="526">
        <f t="shared" si="12"/>
        <v>0.68054463099999996</v>
      </c>
      <c r="M34" s="527">
        <f>+'F4.1 (E) Exisiting'!O34+'F4.1 (N) New'!T21</f>
        <v>0</v>
      </c>
      <c r="N34" s="527">
        <f>+'F4.1 (E) Exisiting'!P34+'F4.1 (N) New'!U21</f>
        <v>0</v>
      </c>
      <c r="O34" s="524">
        <f t="shared" si="13"/>
        <v>0.68054463099999996</v>
      </c>
      <c r="P34" s="526">
        <f t="shared" si="14"/>
        <v>0.68054463099999996</v>
      </c>
      <c r="Q34" s="527">
        <f>+'F4.1 (E) Exisiting'!T34+'F4.1 (N) New'!Y21</f>
        <v>0</v>
      </c>
      <c r="R34" s="527">
        <f>+'F4.1 (E) Exisiting'!U34+'F4.1 (N) New'!Z21</f>
        <v>0</v>
      </c>
      <c r="S34" s="524">
        <f t="shared" si="15"/>
        <v>0.68054463099999996</v>
      </c>
    </row>
    <row r="35" spans="2:22" x14ac:dyDescent="0.25">
      <c r="B35" s="468">
        <f t="shared" si="16"/>
        <v>4</v>
      </c>
      <c r="C35" s="469" t="s">
        <v>769</v>
      </c>
      <c r="D35" s="524">
        <f t="shared" si="8"/>
        <v>0.118818166</v>
      </c>
      <c r="E35" s="527">
        <f>+'F4.1 (E) Exisiting'!E35+'F4.1 (N) New'!J22</f>
        <v>0</v>
      </c>
      <c r="F35" s="527">
        <f>+'F4.1 (E) Exisiting'!F35+'F4.1 (N) New'!K22</f>
        <v>0</v>
      </c>
      <c r="G35" s="524">
        <f t="shared" si="9"/>
        <v>0.118818166</v>
      </c>
      <c r="H35" s="526">
        <f t="shared" si="10"/>
        <v>0.118818166</v>
      </c>
      <c r="I35" s="527">
        <f>+'F4.1 (E) Exisiting'!J35+'F4.1 (N) New'!O22</f>
        <v>0</v>
      </c>
      <c r="J35" s="527">
        <f>+'F4.1 (E) Exisiting'!K35+'F4.1 (N) New'!P22</f>
        <v>0</v>
      </c>
      <c r="K35" s="524">
        <f t="shared" si="11"/>
        <v>0.118818166</v>
      </c>
      <c r="L35" s="526">
        <f t="shared" si="12"/>
        <v>0.118818166</v>
      </c>
      <c r="M35" s="527">
        <f>+'F4.1 (E) Exisiting'!O35+'F4.1 (N) New'!T22</f>
        <v>0</v>
      </c>
      <c r="N35" s="527">
        <f>+'F4.1 (E) Exisiting'!P35+'F4.1 (N) New'!U22</f>
        <v>0</v>
      </c>
      <c r="O35" s="524">
        <f t="shared" si="13"/>
        <v>0.118818166</v>
      </c>
      <c r="P35" s="526">
        <f t="shared" si="14"/>
        <v>0.118818166</v>
      </c>
      <c r="Q35" s="527">
        <f>+'F4.1 (E) Exisiting'!T35+'F4.1 (N) New'!Y22</f>
        <v>0</v>
      </c>
      <c r="R35" s="527">
        <f>+'F4.1 (E) Exisiting'!U35+'F4.1 (N) New'!Z22</f>
        <v>0</v>
      </c>
      <c r="S35" s="524">
        <f t="shared" si="15"/>
        <v>0.118818166</v>
      </c>
    </row>
    <row r="36" spans="2:22" x14ac:dyDescent="0.25">
      <c r="B36" s="468">
        <f t="shared" si="16"/>
        <v>5</v>
      </c>
      <c r="C36" s="469" t="s">
        <v>770</v>
      </c>
      <c r="D36" s="524">
        <f t="shared" si="8"/>
        <v>0.32636974099999999</v>
      </c>
      <c r="E36" s="527">
        <f>+'F4.1 (E) Exisiting'!E36+'F4.1 (N) New'!J23</f>
        <v>0</v>
      </c>
      <c r="F36" s="527">
        <f>+'F4.1 (E) Exisiting'!F36+'F4.1 (N) New'!K23</f>
        <v>0</v>
      </c>
      <c r="G36" s="524">
        <f t="shared" si="9"/>
        <v>0.32636974099999999</v>
      </c>
      <c r="H36" s="526">
        <f t="shared" si="10"/>
        <v>0.32636974099999999</v>
      </c>
      <c r="I36" s="527">
        <f>+'F4.1 (E) Exisiting'!J36+'F4.1 (N) New'!O23</f>
        <v>0</v>
      </c>
      <c r="J36" s="527">
        <f>+'F4.1 (E) Exisiting'!K36+'F4.1 (N) New'!P23</f>
        <v>0</v>
      </c>
      <c r="K36" s="524">
        <f t="shared" si="11"/>
        <v>0.32636974099999999</v>
      </c>
      <c r="L36" s="526">
        <f t="shared" si="12"/>
        <v>0.32636974099999999</v>
      </c>
      <c r="M36" s="527">
        <f>+'F4.1 (E) Exisiting'!O36+'F4.1 (N) New'!T23</f>
        <v>0</v>
      </c>
      <c r="N36" s="527">
        <f>+'F4.1 (E) Exisiting'!P36+'F4.1 (N) New'!U23</f>
        <v>0</v>
      </c>
      <c r="O36" s="524">
        <f t="shared" si="13"/>
        <v>0.32636974099999999</v>
      </c>
      <c r="P36" s="526">
        <f t="shared" si="14"/>
        <v>0.32636974099999999</v>
      </c>
      <c r="Q36" s="527">
        <f>+'F4.1 (E) Exisiting'!T36+'F4.1 (N) New'!Y23</f>
        <v>0</v>
      </c>
      <c r="R36" s="527">
        <f>+'F4.1 (E) Exisiting'!U36+'F4.1 (N) New'!Z23</f>
        <v>0</v>
      </c>
      <c r="S36" s="524">
        <f t="shared" si="15"/>
        <v>0.32636974099999999</v>
      </c>
    </row>
    <row r="37" spans="2:22" x14ac:dyDescent="0.25">
      <c r="B37" s="468">
        <f t="shared" si="16"/>
        <v>6</v>
      </c>
      <c r="C37" s="469" t="s">
        <v>266</v>
      </c>
      <c r="D37" s="524">
        <f t="shared" si="8"/>
        <v>3.1293772529999999</v>
      </c>
      <c r="E37" s="527">
        <f>+'F4.1 (E) Exisiting'!E37+'F4.1 (N) New'!J24</f>
        <v>0</v>
      </c>
      <c r="F37" s="527">
        <f>+'F4.1 (E) Exisiting'!F37+'F4.1 (N) New'!K24</f>
        <v>0</v>
      </c>
      <c r="G37" s="524">
        <f t="shared" si="9"/>
        <v>3.1293772529999999</v>
      </c>
      <c r="H37" s="526">
        <f t="shared" si="10"/>
        <v>3.1293772529999999</v>
      </c>
      <c r="I37" s="527">
        <f>+'F4.1 (E) Exisiting'!J37+'F4.1 (N) New'!O24</f>
        <v>0</v>
      </c>
      <c r="J37" s="527">
        <f>+'F4.1 (E) Exisiting'!K37+'F4.1 (N) New'!P24</f>
        <v>0</v>
      </c>
      <c r="K37" s="524">
        <f t="shared" si="11"/>
        <v>3.1293772529999999</v>
      </c>
      <c r="L37" s="526">
        <f t="shared" si="12"/>
        <v>3.1293772529999999</v>
      </c>
      <c r="M37" s="527">
        <f>+'F4.1 (E) Exisiting'!O37+'F4.1 (N) New'!T24</f>
        <v>0</v>
      </c>
      <c r="N37" s="527">
        <f>+'F4.1 (E) Exisiting'!P37+'F4.1 (N) New'!U24</f>
        <v>0</v>
      </c>
      <c r="O37" s="524">
        <f t="shared" si="13"/>
        <v>3.1293772529999999</v>
      </c>
      <c r="P37" s="526">
        <f t="shared" si="14"/>
        <v>3.1293772529999999</v>
      </c>
      <c r="Q37" s="527">
        <f>+'F4.1 (E) Exisiting'!T37+'F4.1 (N) New'!Y24</f>
        <v>0</v>
      </c>
      <c r="R37" s="527">
        <f>+'F4.1 (E) Exisiting'!U37+'F4.1 (N) New'!Z24</f>
        <v>0</v>
      </c>
      <c r="S37" s="524">
        <f t="shared" si="15"/>
        <v>3.1293772529999999</v>
      </c>
    </row>
    <row r="38" spans="2:22" x14ac:dyDescent="0.25">
      <c r="B38" s="237"/>
      <c r="C38" s="470"/>
      <c r="D38" s="470"/>
      <c r="E38" s="470"/>
      <c r="F38" s="470"/>
      <c r="G38" s="470"/>
      <c r="H38" s="237"/>
      <c r="I38" s="471"/>
      <c r="J38" s="471"/>
      <c r="K38" s="237"/>
      <c r="L38" s="237"/>
      <c r="M38" s="471"/>
      <c r="N38" s="471"/>
      <c r="O38" s="237"/>
      <c r="P38" s="237"/>
      <c r="Q38" s="471"/>
      <c r="R38" s="471"/>
      <c r="S38" s="237"/>
    </row>
    <row r="39" spans="2:22" ht="16.8" x14ac:dyDescent="0.25">
      <c r="B39" s="472"/>
      <c r="C39" s="473" t="s">
        <v>180</v>
      </c>
      <c r="D39" s="525">
        <f>SUM(D32:D38)</f>
        <v>567.97821059100011</v>
      </c>
      <c r="E39" s="525">
        <f t="shared" ref="E39" si="17">SUM(E32:E38)</f>
        <v>0.4</v>
      </c>
      <c r="F39" s="525">
        <f t="shared" ref="F39" si="18">SUM(F32:F38)</f>
        <v>0</v>
      </c>
      <c r="G39" s="525">
        <f t="shared" ref="G39" si="19">SUM(G32:G38)</f>
        <v>568.37821059100008</v>
      </c>
      <c r="H39" s="525">
        <f t="shared" ref="H39" si="20">SUM(H32:H38)</f>
        <v>568.37821059100008</v>
      </c>
      <c r="I39" s="525">
        <f t="shared" ref="I39" si="21">SUM(I32:I38)</f>
        <v>3.18</v>
      </c>
      <c r="J39" s="525">
        <f t="shared" ref="J39" si="22">SUM(J32:J38)</f>
        <v>0</v>
      </c>
      <c r="K39" s="525">
        <f t="shared" ref="K39" si="23">SUM(K32:K38)</f>
        <v>571.55821059100003</v>
      </c>
      <c r="L39" s="525">
        <f t="shared" ref="L39" si="24">SUM(L32:L38)</f>
        <v>571.55821059100003</v>
      </c>
      <c r="M39" s="525">
        <f t="shared" ref="M39" si="25">SUM(M32:M38)</f>
        <v>1.1337600000000001</v>
      </c>
      <c r="N39" s="525">
        <f t="shared" ref="N39" si="26">SUM(N32:N38)</f>
        <v>0</v>
      </c>
      <c r="O39" s="525">
        <f t="shared" ref="O39" si="27">SUM(O32:O38)</f>
        <v>572.69197059100009</v>
      </c>
      <c r="P39" s="525">
        <f t="shared" ref="P39" si="28">SUM(P32:P38)</f>
        <v>572.69197059100009</v>
      </c>
      <c r="Q39" s="525">
        <f t="shared" ref="Q39" si="29">SUM(Q32:Q38)</f>
        <v>0</v>
      </c>
      <c r="R39" s="525">
        <f t="shared" ref="R39" si="30">SUM(R32:R38)</f>
        <v>0</v>
      </c>
      <c r="S39" s="525">
        <f t="shared" ref="S39" si="31">SUM(S32:S38)</f>
        <v>572.69197059100009</v>
      </c>
      <c r="T39" s="597"/>
    </row>
    <row r="40" spans="2:22" ht="16.8" x14ac:dyDescent="0.25">
      <c r="B40" s="474"/>
      <c r="C40" s="474"/>
      <c r="D40" s="474"/>
      <c r="E40" s="474"/>
      <c r="F40" s="474"/>
      <c r="G40" s="474"/>
      <c r="H40" s="474"/>
      <c r="I40" s="474"/>
      <c r="J40" s="474"/>
      <c r="K40" s="474"/>
      <c r="L40" s="474"/>
      <c r="M40" s="474"/>
      <c r="T40" s="474"/>
      <c r="U40" s="474"/>
      <c r="V40" s="474"/>
    </row>
    <row r="41" spans="2:22" ht="16.8" x14ac:dyDescent="0.25">
      <c r="B41" s="454"/>
      <c r="C41" s="454"/>
      <c r="D41" s="454"/>
      <c r="E41" s="454"/>
      <c r="F41" s="454"/>
      <c r="G41" s="454"/>
      <c r="H41" s="474"/>
      <c r="I41" s="474"/>
      <c r="J41" s="474"/>
      <c r="K41" s="474"/>
      <c r="L41" s="474"/>
      <c r="M41" s="474"/>
    </row>
    <row r="42" spans="2:22" ht="16.8" x14ac:dyDescent="0.25">
      <c r="T42" s="474"/>
      <c r="U42" s="474"/>
      <c r="V42" s="474"/>
    </row>
    <row r="43" spans="2:22" x14ac:dyDescent="0.25">
      <c r="B43" s="282" t="s">
        <v>390</v>
      </c>
    </row>
    <row r="44" spans="2:22" x14ac:dyDescent="0.25">
      <c r="B44" s="282"/>
    </row>
    <row r="45" spans="2:22" x14ac:dyDescent="0.25">
      <c r="I45" s="457"/>
      <c r="K45" s="457"/>
      <c r="L45" s="457"/>
      <c r="O45" s="234" t="s">
        <v>73</v>
      </c>
    </row>
    <row r="46" spans="2:22" ht="15" customHeight="1" x14ac:dyDescent="0.25">
      <c r="B46" s="1080" t="s">
        <v>1</v>
      </c>
      <c r="C46" s="1080" t="s">
        <v>74</v>
      </c>
      <c r="D46" s="1095" t="s">
        <v>75</v>
      </c>
      <c r="E46" s="1095"/>
      <c r="F46" s="1095"/>
      <c r="G46" s="1095"/>
      <c r="H46" s="1095" t="s">
        <v>76</v>
      </c>
      <c r="I46" s="1095"/>
      <c r="J46" s="1095"/>
      <c r="K46" s="1095"/>
      <c r="L46" s="1080" t="s">
        <v>77</v>
      </c>
      <c r="M46" s="1080"/>
      <c r="N46" s="1080"/>
      <c r="O46" s="1080"/>
      <c r="P46" s="1080" t="s">
        <v>87</v>
      </c>
      <c r="Q46" s="1080"/>
      <c r="R46" s="1080"/>
      <c r="S46" s="1080"/>
    </row>
    <row r="47" spans="2:22" x14ac:dyDescent="0.25">
      <c r="B47" s="1080"/>
      <c r="C47" s="1080"/>
      <c r="D47" s="1095" t="s">
        <v>391</v>
      </c>
      <c r="E47" s="1100"/>
      <c r="F47" s="1100"/>
      <c r="G47" s="1100"/>
      <c r="H47" s="1095" t="s">
        <v>391</v>
      </c>
      <c r="I47" s="1100"/>
      <c r="J47" s="1100"/>
      <c r="K47" s="1100"/>
      <c r="L47" s="1095" t="s">
        <v>135</v>
      </c>
      <c r="M47" s="1100"/>
      <c r="N47" s="1100"/>
      <c r="O47" s="1100"/>
      <c r="P47" s="1095" t="s">
        <v>103</v>
      </c>
      <c r="Q47" s="1100"/>
      <c r="R47" s="1100"/>
      <c r="S47" s="1100"/>
    </row>
    <row r="48" spans="2:22" ht="69" x14ac:dyDescent="0.25">
      <c r="B48" s="1080"/>
      <c r="C48" s="1080"/>
      <c r="D48" s="424" t="s">
        <v>392</v>
      </c>
      <c r="E48" s="424" t="s">
        <v>361</v>
      </c>
      <c r="F48" s="426" t="s">
        <v>393</v>
      </c>
      <c r="G48" s="424" t="s">
        <v>394</v>
      </c>
      <c r="H48" s="424" t="s">
        <v>392</v>
      </c>
      <c r="I48" s="424" t="s">
        <v>361</v>
      </c>
      <c r="J48" s="426" t="s">
        <v>393</v>
      </c>
      <c r="K48" s="424" t="s">
        <v>394</v>
      </c>
      <c r="L48" s="424" t="s">
        <v>392</v>
      </c>
      <c r="M48" s="424" t="s">
        <v>361</v>
      </c>
      <c r="N48" s="426" t="s">
        <v>393</v>
      </c>
      <c r="O48" s="424" t="s">
        <v>394</v>
      </c>
      <c r="P48" s="424" t="s">
        <v>392</v>
      </c>
      <c r="Q48" s="424" t="s">
        <v>361</v>
      </c>
      <c r="R48" s="426" t="s">
        <v>393</v>
      </c>
      <c r="S48" s="424" t="s">
        <v>394</v>
      </c>
    </row>
    <row r="49" spans="2:34" ht="27.6" x14ac:dyDescent="0.25">
      <c r="B49" s="418"/>
      <c r="C49" s="418"/>
      <c r="D49" s="418" t="s">
        <v>92</v>
      </c>
      <c r="E49" s="418" t="s">
        <v>93</v>
      </c>
      <c r="F49" s="418" t="s">
        <v>191</v>
      </c>
      <c r="G49" s="418" t="s">
        <v>364</v>
      </c>
      <c r="H49" s="418" t="s">
        <v>95</v>
      </c>
      <c r="I49" s="418" t="s">
        <v>96</v>
      </c>
      <c r="J49" s="418" t="s">
        <v>365</v>
      </c>
      <c r="K49" s="418" t="s">
        <v>366</v>
      </c>
      <c r="L49" s="418" t="s">
        <v>98</v>
      </c>
      <c r="M49" s="418" t="s">
        <v>99</v>
      </c>
      <c r="N49" s="418" t="s">
        <v>367</v>
      </c>
      <c r="O49" s="418" t="s">
        <v>368</v>
      </c>
      <c r="P49" s="418" t="s">
        <v>369</v>
      </c>
      <c r="Q49" s="418" t="s">
        <v>370</v>
      </c>
      <c r="R49" s="418" t="s">
        <v>371</v>
      </c>
      <c r="S49" s="418" t="s">
        <v>372</v>
      </c>
    </row>
    <row r="50" spans="2:34" x14ac:dyDescent="0.25">
      <c r="B50" s="468">
        <v>1</v>
      </c>
      <c r="C50" s="469" t="s">
        <v>732</v>
      </c>
      <c r="D50" s="524">
        <f>+'F4.1 (E) Exisiting'!D50</f>
        <v>0</v>
      </c>
      <c r="E50" s="524">
        <f>+'F4.1 (E) Exisiting'!E50</f>
        <v>0</v>
      </c>
      <c r="F50" s="524">
        <f>+'F4.1 (E) Exisiting'!F50</f>
        <v>0</v>
      </c>
      <c r="G50" s="524">
        <f>+D50+E50-F50</f>
        <v>0</v>
      </c>
      <c r="H50" s="526">
        <f t="shared" ref="H50:H55" si="32">+G50</f>
        <v>0</v>
      </c>
      <c r="I50" s="527">
        <f>+'F4.1 (E) Exisiting'!J50</f>
        <v>0</v>
      </c>
      <c r="J50" s="527">
        <f>+'F4.1 (E) Exisiting'!K50</f>
        <v>0</v>
      </c>
      <c r="K50" s="524">
        <f>+H50+I50-J50</f>
        <v>0</v>
      </c>
      <c r="L50" s="526">
        <f t="shared" ref="L50:L55" si="33">+K50</f>
        <v>0</v>
      </c>
      <c r="M50" s="527">
        <f>+'F4.1 (E) Exisiting'!O50</f>
        <v>0</v>
      </c>
      <c r="N50" s="527">
        <f>+'F4.1 (E) Exisiting'!P50</f>
        <v>0</v>
      </c>
      <c r="O50" s="524">
        <f>+L50+M50-N50</f>
        <v>0</v>
      </c>
      <c r="P50" s="526">
        <f t="shared" ref="P50:P55" si="34">+O50</f>
        <v>0</v>
      </c>
      <c r="Q50" s="527">
        <f>+'F4.1 (E) Exisiting'!T50+'F4.1 (N) New'!E42</f>
        <v>0</v>
      </c>
      <c r="R50" s="527">
        <f>+'F4.1 (E) Exisiting'!U50+'F4.1 (N) New'!F42</f>
        <v>0</v>
      </c>
      <c r="S50" s="524">
        <f>+P50+Q50-R50</f>
        <v>0</v>
      </c>
    </row>
    <row r="51" spans="2:34" x14ac:dyDescent="0.25">
      <c r="B51" s="468">
        <f>+B50+1</f>
        <v>2</v>
      </c>
      <c r="C51" s="469" t="s">
        <v>265</v>
      </c>
      <c r="D51" s="524">
        <f>+'F4.1 (E) Exisiting'!D51</f>
        <v>303.60909833688004</v>
      </c>
      <c r="E51" s="524">
        <f>+'F4.1 (E) Exisiting'!E51</f>
        <v>29.142069607015205</v>
      </c>
      <c r="F51" s="524">
        <f>+'F4.1 (E) Exisiting'!F51</f>
        <v>0</v>
      </c>
      <c r="G51" s="524">
        <f t="shared" ref="G51:G55" si="35">+D51+E51-F51</f>
        <v>332.75116794389527</v>
      </c>
      <c r="H51" s="526">
        <f t="shared" si="32"/>
        <v>332.75116794389527</v>
      </c>
      <c r="I51" s="527">
        <f>+'F4.1 (E) Exisiting'!J51</f>
        <v>29.170634958775203</v>
      </c>
      <c r="J51" s="527">
        <f>+'F4.1 (E) Exisiting'!K51</f>
        <v>0</v>
      </c>
      <c r="K51" s="524">
        <f t="shared" ref="K51:K55" si="36">+H51+I51-J51</f>
        <v>361.92180290267049</v>
      </c>
      <c r="L51" s="526">
        <f t="shared" si="33"/>
        <v>361.92180290267049</v>
      </c>
      <c r="M51" s="527">
        <f>+'F4.1 (E) Exisiting'!O51</f>
        <v>29.186799190560006</v>
      </c>
      <c r="N51" s="527">
        <f>+'F4.1 (E) Exisiting'!P51</f>
        <v>0</v>
      </c>
      <c r="O51" s="524">
        <f t="shared" ref="O51:O55" si="37">+L51+M51-N51</f>
        <v>391.1086020932305</v>
      </c>
      <c r="P51" s="526">
        <f t="shared" si="34"/>
        <v>391.1086020932305</v>
      </c>
      <c r="Q51" s="527">
        <f ca="1">+'F4.1 (E) Exisiting'!T51+'F4.1 (N) New'!E43</f>
        <v>7.7518434231818194</v>
      </c>
      <c r="R51" s="527">
        <f>+'F4.1 (E) Exisiting'!U51+'F4.1 (N) New'!F43</f>
        <v>0</v>
      </c>
      <c r="S51" s="524">
        <f t="shared" ref="S51:S55" ca="1" si="38">+P51+Q51-R51</f>
        <v>398.86044551641231</v>
      </c>
    </row>
    <row r="52" spans="2:34" x14ac:dyDescent="0.25">
      <c r="B52" s="468">
        <f t="shared" ref="B52:B55" si="39">+B51+1</f>
        <v>3</v>
      </c>
      <c r="C52" s="238" t="s">
        <v>272</v>
      </c>
      <c r="D52" s="524">
        <f>+'F4.1 (E) Exisiting'!D52</f>
        <v>3.6058148379999995E-2</v>
      </c>
      <c r="E52" s="524">
        <f>+'F4.1 (E) Exisiting'!E52</f>
        <v>1.21495978575E-2</v>
      </c>
      <c r="F52" s="524">
        <f>+'F4.1 (E) Exisiting'!F52</f>
        <v>0</v>
      </c>
      <c r="G52" s="524">
        <f t="shared" si="35"/>
        <v>4.8207746237499995E-2</v>
      </c>
      <c r="H52" s="526">
        <f t="shared" si="32"/>
        <v>4.8207746237499995E-2</v>
      </c>
      <c r="I52" s="527">
        <f>+'F4.1 (E) Exisiting'!J52</f>
        <v>2.7018486330749998E-2</v>
      </c>
      <c r="J52" s="527">
        <f>+'F4.1 (E) Exisiting'!K52</f>
        <v>-1.036683E-3</v>
      </c>
      <c r="K52" s="524">
        <f t="shared" si="36"/>
        <v>7.6262915568249989E-2</v>
      </c>
      <c r="L52" s="526">
        <f t="shared" si="33"/>
        <v>7.6262915568249989E-2</v>
      </c>
      <c r="M52" s="527">
        <f>+'F4.1 (E) Exisiting'!O52</f>
        <v>4.0388225142299998E-2</v>
      </c>
      <c r="N52" s="527">
        <f>+'F4.1 (E) Exisiting'!P52</f>
        <v>0</v>
      </c>
      <c r="O52" s="524">
        <f t="shared" si="37"/>
        <v>0.11665114071054999</v>
      </c>
      <c r="P52" s="526">
        <f t="shared" si="34"/>
        <v>0.11665114071054999</v>
      </c>
      <c r="Q52" s="527">
        <f ca="1">+'F4.1 (E) Exisiting'!T52+'F4.1 (N) New'!E44</f>
        <v>4.1733350142300001E-2</v>
      </c>
      <c r="R52" s="527">
        <f>+'F4.1 (E) Exisiting'!U52+'F4.1 (N) New'!F44</f>
        <v>0</v>
      </c>
      <c r="S52" s="524">
        <f t="shared" ca="1" si="38"/>
        <v>0.15838449085285</v>
      </c>
    </row>
    <row r="53" spans="2:34" x14ac:dyDescent="0.25">
      <c r="B53" s="468">
        <f t="shared" si="39"/>
        <v>4</v>
      </c>
      <c r="C53" s="469" t="s">
        <v>769</v>
      </c>
      <c r="D53" s="524">
        <f>+'F4.1 (E) Exisiting'!D53</f>
        <v>2.9162333500000002E-2</v>
      </c>
      <c r="E53" s="524">
        <f>+'F4.1 (E) Exisiting'!E53</f>
        <v>1.7368654500000001E-3</v>
      </c>
      <c r="F53" s="524">
        <f>+'F4.1 (E) Exisiting'!F53</f>
        <v>-5.2560899999999997E-3</v>
      </c>
      <c r="G53" s="524">
        <f t="shared" si="35"/>
        <v>3.6155288950000003E-2</v>
      </c>
      <c r="H53" s="526">
        <f t="shared" si="32"/>
        <v>3.6155288950000003E-2</v>
      </c>
      <c r="I53" s="527">
        <f>+'F4.1 (E) Exisiting'!J53</f>
        <v>3.9151579800000003E-3</v>
      </c>
      <c r="J53" s="527">
        <f>+'F4.1 (E) Exisiting'!K53</f>
        <v>-5.1262199999999999E-3</v>
      </c>
      <c r="K53" s="524">
        <f t="shared" si="36"/>
        <v>4.5196666930000004E-2</v>
      </c>
      <c r="L53" s="526">
        <f t="shared" si="33"/>
        <v>4.5196666930000004E-2</v>
      </c>
      <c r="M53" s="527">
        <f>+'F4.1 (E) Exisiting'!O53</f>
        <v>1.3322724900000001E-2</v>
      </c>
      <c r="N53" s="527">
        <f>+'F4.1 (E) Exisiting'!P53</f>
        <v>0</v>
      </c>
      <c r="O53" s="524">
        <f t="shared" si="37"/>
        <v>5.8519391830000003E-2</v>
      </c>
      <c r="P53" s="526">
        <f t="shared" si="34"/>
        <v>5.8519391830000003E-2</v>
      </c>
      <c r="Q53" s="527">
        <f ca="1">+'F4.1 (E) Exisiting'!T53+'F4.1 (N) New'!E45</f>
        <v>1.5572724900000001E-2</v>
      </c>
      <c r="R53" s="527">
        <f>+'F4.1 (E) Exisiting'!U53+'F4.1 (N) New'!F45</f>
        <v>0</v>
      </c>
      <c r="S53" s="524">
        <f t="shared" ca="1" si="38"/>
        <v>7.4092116730000004E-2</v>
      </c>
    </row>
    <row r="54" spans="2:34" x14ac:dyDescent="0.25">
      <c r="B54" s="468">
        <f t="shared" si="39"/>
        <v>5</v>
      </c>
      <c r="C54" s="469" t="s">
        <v>770</v>
      </c>
      <c r="D54" s="524">
        <f>+'F4.1 (E) Exisiting'!D54</f>
        <v>7.3491219400000002E-2</v>
      </c>
      <c r="E54" s="524">
        <f>+'F4.1 (E) Exisiting'!E54</f>
        <v>1.3889062582649998E-2</v>
      </c>
      <c r="F54" s="524">
        <f>+'F4.1 (E) Exisiting'!F54</f>
        <v>0</v>
      </c>
      <c r="G54" s="524">
        <f t="shared" si="35"/>
        <v>8.7380281982649993E-2</v>
      </c>
      <c r="H54" s="526">
        <f t="shared" si="32"/>
        <v>8.7380281982649993E-2</v>
      </c>
      <c r="I54" s="527">
        <f>+'F4.1 (E) Exisiting'!J54</f>
        <v>1.9650727995299998E-2</v>
      </c>
      <c r="J54" s="527">
        <f>+'F4.1 (E) Exisiting'!K54</f>
        <v>-1.5225529999999999E-2</v>
      </c>
      <c r="K54" s="524">
        <f t="shared" si="36"/>
        <v>0.12225653997795</v>
      </c>
      <c r="L54" s="526">
        <f t="shared" si="33"/>
        <v>0.12225653997795</v>
      </c>
      <c r="M54" s="527">
        <f>+'F4.1 (E) Exisiting'!O54</f>
        <v>2.0659204605299998E-2</v>
      </c>
      <c r="N54" s="527">
        <f>+'F4.1 (E) Exisiting'!P54</f>
        <v>0</v>
      </c>
      <c r="O54" s="524">
        <f t="shared" si="37"/>
        <v>0.14291574458324999</v>
      </c>
      <c r="P54" s="526">
        <f t="shared" si="34"/>
        <v>0.14291574458324999</v>
      </c>
      <c r="Q54" s="527">
        <f ca="1">+'F4.1 (E) Exisiting'!T54+'F4.1 (N) New'!E46</f>
        <v>2.0659204605299998E-2</v>
      </c>
      <c r="R54" s="527">
        <f>+'F4.1 (E) Exisiting'!U54+'F4.1 (N) New'!F46</f>
        <v>0</v>
      </c>
      <c r="S54" s="524">
        <f t="shared" ca="1" si="38"/>
        <v>0.16357494918854998</v>
      </c>
    </row>
    <row r="55" spans="2:34" x14ac:dyDescent="0.25">
      <c r="B55" s="468">
        <f t="shared" si="39"/>
        <v>6</v>
      </c>
      <c r="C55" s="469" t="s">
        <v>266</v>
      </c>
      <c r="D55" s="524">
        <f>+'F4.1 (E) Exisiting'!D55</f>
        <v>0</v>
      </c>
      <c r="E55" s="524">
        <f>+'F4.1 (E) Exisiting'!E55</f>
        <v>4.9421600125099996E-2</v>
      </c>
      <c r="F55" s="524">
        <f>+'F4.1 (E) Exisiting'!F55</f>
        <v>0</v>
      </c>
      <c r="G55" s="524">
        <f t="shared" si="35"/>
        <v>4.9421600125099996E-2</v>
      </c>
      <c r="H55" s="526">
        <f t="shared" si="32"/>
        <v>4.9421600125099996E-2</v>
      </c>
      <c r="I55" s="527">
        <f>+'F4.1 (E) Exisiting'!J55</f>
        <v>9.8843200250199992E-2</v>
      </c>
      <c r="J55" s="527">
        <f>+'F4.1 (E) Exisiting'!K55</f>
        <v>0</v>
      </c>
      <c r="K55" s="524">
        <f t="shared" si="36"/>
        <v>0.14826480037529999</v>
      </c>
      <c r="L55" s="526">
        <f t="shared" si="33"/>
        <v>0.14826480037529999</v>
      </c>
      <c r="M55" s="527">
        <f>+'F4.1 (E) Exisiting'!O55</f>
        <v>9.8843200250199992E-2</v>
      </c>
      <c r="N55" s="527">
        <f>+'F4.1 (E) Exisiting'!P55</f>
        <v>0</v>
      </c>
      <c r="O55" s="524">
        <f t="shared" si="37"/>
        <v>0.24710800062549998</v>
      </c>
      <c r="P55" s="526">
        <f t="shared" si="34"/>
        <v>0.24710800062549998</v>
      </c>
      <c r="Q55" s="527">
        <f ca="1">+'F4.1 (E) Exisiting'!T55+'F4.1 (N) New'!E47</f>
        <v>0.10168220025019999</v>
      </c>
      <c r="R55" s="527">
        <f>+'F4.1 (E) Exisiting'!U55+'F4.1 (N) New'!F47</f>
        <v>0</v>
      </c>
      <c r="S55" s="524">
        <f t="shared" ca="1" si="38"/>
        <v>0.34879020087569995</v>
      </c>
    </row>
    <row r="56" spans="2:34" x14ac:dyDescent="0.25">
      <c r="B56" s="468"/>
      <c r="C56" s="469"/>
      <c r="D56" s="470"/>
      <c r="E56" s="470"/>
      <c r="F56" s="470"/>
      <c r="G56" s="470"/>
      <c r="H56" s="237"/>
      <c r="I56" s="471"/>
      <c r="J56" s="471"/>
      <c r="K56" s="237"/>
      <c r="L56" s="237"/>
      <c r="M56" s="471"/>
      <c r="N56" s="471"/>
      <c r="O56" s="237"/>
      <c r="P56" s="237"/>
      <c r="Q56" s="237"/>
      <c r="R56" s="237"/>
      <c r="S56" s="237"/>
    </row>
    <row r="57" spans="2:34" ht="16.8" x14ac:dyDescent="0.25">
      <c r="B57" s="472"/>
      <c r="C57" s="473" t="s">
        <v>180</v>
      </c>
      <c r="D57" s="525">
        <f>SUM(D50:D56)</f>
        <v>303.74781003816003</v>
      </c>
      <c r="E57" s="525">
        <f t="shared" ref="E57" si="40">SUM(E50:E56)</f>
        <v>29.219266733030455</v>
      </c>
      <c r="F57" s="525">
        <f t="shared" ref="F57" si="41">SUM(F50:F56)</f>
        <v>-5.2560899999999997E-3</v>
      </c>
      <c r="G57" s="525">
        <f t="shared" ref="G57" si="42">SUM(G50:G56)</f>
        <v>332.97233286119047</v>
      </c>
      <c r="H57" s="525">
        <f t="shared" ref="H57" si="43">SUM(H50:H56)</f>
        <v>332.97233286119047</v>
      </c>
      <c r="I57" s="525">
        <f t="shared" ref="I57" si="44">SUM(I50:I56)</f>
        <v>29.320062531331455</v>
      </c>
      <c r="J57" s="525">
        <f t="shared" ref="J57" si="45">SUM(J50:J56)</f>
        <v>-2.1388432999999998E-2</v>
      </c>
      <c r="K57" s="525">
        <f t="shared" ref="K57" si="46">SUM(K50:K56)</f>
        <v>362.31378382552197</v>
      </c>
      <c r="L57" s="525">
        <f t="shared" ref="L57" si="47">SUM(L50:L56)</f>
        <v>362.31378382552197</v>
      </c>
      <c r="M57" s="525">
        <f t="shared" ref="M57" si="48">SUM(M50:M56)</f>
        <v>29.360012545457806</v>
      </c>
      <c r="N57" s="525">
        <f t="shared" ref="N57" si="49">SUM(N50:N56)</f>
        <v>0</v>
      </c>
      <c r="O57" s="525">
        <f t="shared" ref="O57" si="50">SUM(O50:O56)</f>
        <v>391.67379637097974</v>
      </c>
      <c r="P57" s="525">
        <f t="shared" ref="P57" si="51">SUM(P50:P56)</f>
        <v>391.67379637097974</v>
      </c>
      <c r="Q57" s="525">
        <f t="shared" ref="Q57" ca="1" si="52">SUM(Q50:Q56)</f>
        <v>7.9314909030796192</v>
      </c>
      <c r="R57" s="525">
        <f t="shared" ref="R57" si="53">SUM(R50:R56)</f>
        <v>0</v>
      </c>
      <c r="S57" s="525">
        <f t="shared" ref="S57" ca="1" si="54">SUM(S50:S56)</f>
        <v>399.60528727405944</v>
      </c>
    </row>
    <row r="58" spans="2:34" ht="16.8" x14ac:dyDescent="0.25">
      <c r="B58" s="474"/>
      <c r="C58" s="475"/>
      <c r="D58" s="475"/>
      <c r="E58" s="475"/>
      <c r="F58" s="475"/>
      <c r="G58" s="475"/>
      <c r="H58" s="474"/>
      <c r="I58" s="474"/>
      <c r="J58" s="474"/>
      <c r="K58" s="474"/>
      <c r="L58" s="474"/>
      <c r="M58" s="474"/>
      <c r="N58" s="474"/>
      <c r="O58" s="474"/>
      <c r="Q58" s="476"/>
      <c r="R58" s="476"/>
    </row>
    <row r="59" spans="2:34" ht="16.8" x14ac:dyDescent="0.25">
      <c r="B59" s="454" t="s">
        <v>395</v>
      </c>
      <c r="C59" s="455"/>
      <c r="D59" s="455"/>
      <c r="E59" s="455"/>
      <c r="F59" s="455"/>
      <c r="G59" s="455"/>
      <c r="H59" s="477"/>
      <c r="I59" s="477"/>
      <c r="J59" s="474"/>
      <c r="K59" s="474"/>
      <c r="L59" s="474"/>
      <c r="M59" s="474"/>
      <c r="N59" s="474"/>
      <c r="O59" s="474"/>
      <c r="Q59" s="476"/>
      <c r="R59" s="476"/>
      <c r="T59" s="474"/>
      <c r="U59" s="474"/>
      <c r="V59" s="474"/>
      <c r="W59" s="474"/>
      <c r="X59" s="474"/>
      <c r="Y59" s="474"/>
      <c r="Z59" s="474"/>
      <c r="AA59" s="474"/>
      <c r="AB59" s="474"/>
      <c r="AC59" s="474"/>
      <c r="AD59" s="474"/>
      <c r="AE59" s="474"/>
      <c r="AF59" s="474"/>
      <c r="AG59" s="474"/>
      <c r="AH59" s="474"/>
    </row>
    <row r="60" spans="2:34" ht="16.8" x14ac:dyDescent="0.25">
      <c r="B60" s="454" t="s">
        <v>396</v>
      </c>
      <c r="C60" s="455"/>
      <c r="D60" s="455"/>
      <c r="E60" s="455"/>
      <c r="F60" s="455"/>
      <c r="G60" s="455"/>
      <c r="H60" s="477"/>
      <c r="I60" s="477"/>
      <c r="J60" s="474"/>
      <c r="K60" s="474"/>
      <c r="L60" s="474"/>
      <c r="M60" s="474"/>
      <c r="N60" s="474"/>
      <c r="O60" s="474"/>
      <c r="Q60" s="476"/>
      <c r="R60" s="476"/>
      <c r="T60" s="474"/>
      <c r="U60" s="474"/>
      <c r="V60" s="474"/>
      <c r="W60" s="474"/>
      <c r="X60" s="474"/>
      <c r="Y60" s="474"/>
      <c r="Z60" s="474"/>
      <c r="AA60" s="474"/>
      <c r="AB60" s="474"/>
      <c r="AC60" s="474"/>
      <c r="AD60" s="474"/>
      <c r="AE60" s="474"/>
      <c r="AF60" s="474"/>
      <c r="AG60" s="474"/>
      <c r="AH60" s="474"/>
    </row>
    <row r="61" spans="2:34" ht="16.8" x14ac:dyDescent="0.25">
      <c r="B61" s="474"/>
      <c r="C61" s="475"/>
      <c r="D61" s="475"/>
      <c r="E61" s="475"/>
      <c r="F61" s="475"/>
      <c r="G61" s="475"/>
      <c r="H61" s="474"/>
      <c r="I61" s="474"/>
      <c r="J61" s="474"/>
      <c r="K61" s="474"/>
      <c r="L61" s="474"/>
      <c r="M61" s="474"/>
      <c r="N61" s="474"/>
      <c r="O61" s="474"/>
      <c r="P61" s="474"/>
      <c r="Q61" s="474"/>
      <c r="R61" s="474"/>
      <c r="S61" s="474"/>
      <c r="T61" s="474"/>
      <c r="U61" s="474"/>
      <c r="V61" s="474"/>
      <c r="W61" s="474"/>
      <c r="X61" s="474"/>
      <c r="Y61" s="474"/>
      <c r="Z61" s="474"/>
      <c r="AA61" s="474"/>
      <c r="AB61" s="474"/>
      <c r="AC61" s="474"/>
      <c r="AD61" s="474"/>
      <c r="AE61" s="474"/>
      <c r="AF61" s="474"/>
      <c r="AG61" s="474"/>
      <c r="AH61" s="474"/>
    </row>
    <row r="62" spans="2:34" ht="15" customHeight="1" x14ac:dyDescent="0.25">
      <c r="B62" s="474"/>
      <c r="C62" s="475"/>
      <c r="D62" s="475"/>
      <c r="E62" s="475"/>
      <c r="F62" s="475"/>
      <c r="G62" s="475"/>
      <c r="H62" s="474"/>
      <c r="I62" s="474"/>
      <c r="J62" s="474"/>
      <c r="K62" s="474"/>
      <c r="L62" s="474"/>
      <c r="M62" s="474"/>
      <c r="N62" s="474"/>
      <c r="O62" s="234" t="s">
        <v>73</v>
      </c>
      <c r="P62" s="474"/>
      <c r="Q62" s="474"/>
      <c r="R62" s="474"/>
      <c r="S62" s="474"/>
    </row>
    <row r="63" spans="2:34" x14ac:dyDescent="0.25">
      <c r="B63" s="1080" t="s">
        <v>1</v>
      </c>
      <c r="C63" s="1080" t="s">
        <v>74</v>
      </c>
      <c r="D63" s="1097" t="s">
        <v>88</v>
      </c>
      <c r="E63" s="1098"/>
      <c r="F63" s="1098"/>
      <c r="G63" s="1099"/>
      <c r="H63" s="1080" t="s">
        <v>89</v>
      </c>
      <c r="I63" s="1080"/>
      <c r="J63" s="1080"/>
      <c r="K63" s="1080"/>
      <c r="L63" s="1080" t="s">
        <v>90</v>
      </c>
      <c r="M63" s="1080"/>
      <c r="N63" s="1080"/>
      <c r="O63" s="1080"/>
      <c r="P63" s="1080" t="s">
        <v>91</v>
      </c>
      <c r="Q63" s="1080"/>
      <c r="R63" s="1080"/>
      <c r="S63" s="1080"/>
    </row>
    <row r="64" spans="2:34" x14ac:dyDescent="0.25">
      <c r="B64" s="1080"/>
      <c r="C64" s="1080"/>
      <c r="D64" s="1095" t="s">
        <v>103</v>
      </c>
      <c r="E64" s="1100"/>
      <c r="F64" s="1100"/>
      <c r="G64" s="1100"/>
      <c r="H64" s="1095" t="s">
        <v>103</v>
      </c>
      <c r="I64" s="1100"/>
      <c r="J64" s="1100"/>
      <c r="K64" s="1100"/>
      <c r="L64" s="1095" t="s">
        <v>103</v>
      </c>
      <c r="M64" s="1100"/>
      <c r="N64" s="1100"/>
      <c r="O64" s="1100"/>
      <c r="P64" s="1095" t="s">
        <v>103</v>
      </c>
      <c r="Q64" s="1100"/>
      <c r="R64" s="1100"/>
      <c r="S64" s="1100"/>
    </row>
    <row r="65" spans="2:19" ht="69" x14ac:dyDescent="0.25">
      <c r="B65" s="1080"/>
      <c r="C65" s="1080"/>
      <c r="D65" s="424" t="s">
        <v>392</v>
      </c>
      <c r="E65" s="424" t="s">
        <v>361</v>
      </c>
      <c r="F65" s="426" t="s">
        <v>393</v>
      </c>
      <c r="G65" s="424" t="s">
        <v>394</v>
      </c>
      <c r="H65" s="424" t="s">
        <v>392</v>
      </c>
      <c r="I65" s="424" t="s">
        <v>361</v>
      </c>
      <c r="J65" s="426" t="s">
        <v>393</v>
      </c>
      <c r="K65" s="424" t="s">
        <v>394</v>
      </c>
      <c r="L65" s="424" t="s">
        <v>392</v>
      </c>
      <c r="M65" s="424" t="s">
        <v>361</v>
      </c>
      <c r="N65" s="426" t="s">
        <v>393</v>
      </c>
      <c r="O65" s="424" t="s">
        <v>394</v>
      </c>
      <c r="P65" s="424" t="s">
        <v>392</v>
      </c>
      <c r="Q65" s="424" t="s">
        <v>361</v>
      </c>
      <c r="R65" s="426" t="s">
        <v>393</v>
      </c>
      <c r="S65" s="424" t="s">
        <v>394</v>
      </c>
    </row>
    <row r="66" spans="2:19" ht="27.6" x14ac:dyDescent="0.25">
      <c r="B66" s="418"/>
      <c r="C66" s="418"/>
      <c r="D66" s="418" t="s">
        <v>374</v>
      </c>
      <c r="E66" s="418" t="s">
        <v>375</v>
      </c>
      <c r="F66" s="418" t="s">
        <v>376</v>
      </c>
      <c r="G66" s="418" t="s">
        <v>377</v>
      </c>
      <c r="H66" s="418" t="s">
        <v>378</v>
      </c>
      <c r="I66" s="418" t="s">
        <v>379</v>
      </c>
      <c r="J66" s="418" t="s">
        <v>380</v>
      </c>
      <c r="K66" s="418" t="s">
        <v>381</v>
      </c>
      <c r="L66" s="418" t="s">
        <v>382</v>
      </c>
      <c r="M66" s="418" t="s">
        <v>383</v>
      </c>
      <c r="N66" s="418" t="s">
        <v>384</v>
      </c>
      <c r="O66" s="418" t="s">
        <v>385</v>
      </c>
      <c r="P66" s="418" t="s">
        <v>386</v>
      </c>
      <c r="Q66" s="418" t="s">
        <v>387</v>
      </c>
      <c r="R66" s="418" t="s">
        <v>388</v>
      </c>
      <c r="S66" s="418" t="s">
        <v>389</v>
      </c>
    </row>
    <row r="67" spans="2:19" x14ac:dyDescent="0.25">
      <c r="B67" s="468">
        <v>1</v>
      </c>
      <c r="C67" s="469" t="s">
        <v>732</v>
      </c>
      <c r="D67" s="524">
        <f>+S50</f>
        <v>0</v>
      </c>
      <c r="E67" s="528">
        <f>+'F4.1 (E) Exisiting'!E67+'F4.1 (N) New'!J42</f>
        <v>0</v>
      </c>
      <c r="F67" s="528">
        <f>+'F4.1 (E) Exisiting'!F67+'F4.1 (N) New'!K42</f>
        <v>0</v>
      </c>
      <c r="G67" s="524">
        <f>+D67+E67-F67</f>
        <v>0</v>
      </c>
      <c r="H67" s="526">
        <f t="shared" ref="H67:H72" si="55">+G67</f>
        <v>0</v>
      </c>
      <c r="I67" s="527">
        <f>+'F4.1 (E) Exisiting'!J67+'F4.1 (N) New'!O42</f>
        <v>0</v>
      </c>
      <c r="J67" s="527">
        <f>+'F4.1 (E) Exisiting'!K67+'F4.1 (N) New'!P42</f>
        <v>0</v>
      </c>
      <c r="K67" s="524">
        <f>+H67+I67-J67</f>
        <v>0</v>
      </c>
      <c r="L67" s="526">
        <f t="shared" ref="L67:L72" si="56">+K67</f>
        <v>0</v>
      </c>
      <c r="M67" s="527">
        <f>+'F4.1 (E) Exisiting'!O67+'F4.1 (N) New'!T42</f>
        <v>0</v>
      </c>
      <c r="N67" s="527">
        <f>+'F4.1 (E) Exisiting'!P67+'F4.1 (N) New'!U42</f>
        <v>0</v>
      </c>
      <c r="O67" s="524">
        <f>+L67+M67-N67</f>
        <v>0</v>
      </c>
      <c r="P67" s="526">
        <f t="shared" ref="P67:P72" si="57">+O67</f>
        <v>0</v>
      </c>
      <c r="Q67" s="527">
        <f>+'F4.1 (E) Exisiting'!T67+'F4.1 (N) New'!Y42</f>
        <v>0</v>
      </c>
      <c r="R67" s="527">
        <f>+'F4.1 (E) Exisiting'!U67+'F4.1 (N) New'!Z42</f>
        <v>0</v>
      </c>
      <c r="S67" s="526">
        <f>+P67</f>
        <v>0</v>
      </c>
    </row>
    <row r="68" spans="2:19" x14ac:dyDescent="0.25">
      <c r="B68" s="468">
        <f>+B67+1</f>
        <v>2</v>
      </c>
      <c r="C68" s="469" t="s">
        <v>265</v>
      </c>
      <c r="D68" s="524">
        <f t="shared" ref="D68:D72" ca="1" si="58">+S51</f>
        <v>398.86044551641231</v>
      </c>
      <c r="E68" s="528">
        <f ca="1">+'F4.1 (E) Exisiting'!E68+'F4.1 (N) New'!J43</f>
        <v>7.9701229231818189</v>
      </c>
      <c r="F68" s="528">
        <f>+'F4.1 (E) Exisiting'!F68+'F4.1 (N) New'!K43</f>
        <v>0</v>
      </c>
      <c r="G68" s="524">
        <f t="shared" ref="G68:G72" ca="1" si="59">+D68+E68-F68</f>
        <v>406.83056843959412</v>
      </c>
      <c r="H68" s="526">
        <f t="shared" ca="1" si="55"/>
        <v>406.83056843959412</v>
      </c>
      <c r="I68" s="527">
        <f ca="1">+'F4.1 (E) Exisiting'!J68+'F4.1 (N) New'!O43</f>
        <v>8.0456609231818188</v>
      </c>
      <c r="J68" s="527">
        <f>+'F4.1 (E) Exisiting'!K68+'F4.1 (N) New'!P43</f>
        <v>0</v>
      </c>
      <c r="K68" s="524">
        <f t="shared" ref="K68:K72" ca="1" si="60">+H68+I68-J68</f>
        <v>414.87622936277592</v>
      </c>
      <c r="L68" s="526">
        <f t="shared" ca="1" si="56"/>
        <v>414.87622936277592</v>
      </c>
      <c r="M68" s="527">
        <f ca="1">+'F4.1 (E) Exisiting'!O68+'F4.1 (N) New'!T43</f>
        <v>8.1366812591818185</v>
      </c>
      <c r="N68" s="527">
        <f>+'F4.1 (E) Exisiting'!P68+'F4.1 (N) New'!U43</f>
        <v>0</v>
      </c>
      <c r="O68" s="524">
        <f t="shared" ref="O68:O72" ca="1" si="61">+L68+M68-N68</f>
        <v>423.01291062195776</v>
      </c>
      <c r="P68" s="526">
        <f t="shared" ca="1" si="57"/>
        <v>423.01291062195776</v>
      </c>
      <c r="Q68" s="527">
        <f ca="1">+'F4.1 (E) Exisiting'!T68+'F4.1 (N) New'!Y43</f>
        <v>8.1606035951818185</v>
      </c>
      <c r="R68" s="527">
        <f>+'F4.1 (E) Exisiting'!U68+'F4.1 (N) New'!Z43</f>
        <v>0</v>
      </c>
      <c r="S68" s="526">
        <f t="shared" ref="S68:S72" ca="1" si="62">+P68</f>
        <v>423.01291062195776</v>
      </c>
    </row>
    <row r="69" spans="2:19" x14ac:dyDescent="0.25">
      <c r="B69" s="468">
        <f t="shared" ref="B69:B72" si="63">+B68+1</f>
        <v>3</v>
      </c>
      <c r="C69" s="238" t="s">
        <v>272</v>
      </c>
      <c r="D69" s="524">
        <f t="shared" ca="1" si="58"/>
        <v>0.15838449085285</v>
      </c>
      <c r="E69" s="528">
        <f ca="1">+'F4.1 (E) Exisiting'!E69+'F4.1 (N) New'!J44</f>
        <v>4.3078475142299996E-2</v>
      </c>
      <c r="F69" s="528">
        <f>+'F4.1 (E) Exisiting'!F69+'F4.1 (N) New'!K44</f>
        <v>0</v>
      </c>
      <c r="G69" s="524">
        <f t="shared" ca="1" si="59"/>
        <v>0.20146296599515001</v>
      </c>
      <c r="H69" s="526">
        <f t="shared" ca="1" si="55"/>
        <v>0.20146296599515001</v>
      </c>
      <c r="I69" s="527">
        <f ca="1">+'F4.1 (E) Exisiting'!J69+'F4.1 (N) New'!O44</f>
        <v>4.3078475142299996E-2</v>
      </c>
      <c r="J69" s="527">
        <f>+'F4.1 (E) Exisiting'!K69+'F4.1 (N) New'!P44</f>
        <v>0</v>
      </c>
      <c r="K69" s="524">
        <f t="shared" ca="1" si="60"/>
        <v>0.24454144113745002</v>
      </c>
      <c r="L69" s="526">
        <f t="shared" ca="1" si="56"/>
        <v>0.24454144113745002</v>
      </c>
      <c r="M69" s="527">
        <f ca="1">+'F4.1 (E) Exisiting'!O69+'F4.1 (N) New'!T44</f>
        <v>4.3078475142299996E-2</v>
      </c>
      <c r="N69" s="527">
        <f>+'F4.1 (E) Exisiting'!P69+'F4.1 (N) New'!U44</f>
        <v>0</v>
      </c>
      <c r="O69" s="524">
        <f t="shared" ca="1" si="61"/>
        <v>0.28761991627975003</v>
      </c>
      <c r="P69" s="526">
        <f t="shared" ca="1" si="57"/>
        <v>0.28761991627975003</v>
      </c>
      <c r="Q69" s="527">
        <f ca="1">+'F4.1 (E) Exisiting'!T69+'F4.1 (N) New'!Y44</f>
        <v>4.3078475142299996E-2</v>
      </c>
      <c r="R69" s="527">
        <f>+'F4.1 (E) Exisiting'!U69+'F4.1 (N) New'!Z44</f>
        <v>0</v>
      </c>
      <c r="S69" s="526">
        <f t="shared" ca="1" si="62"/>
        <v>0.28761991627975003</v>
      </c>
    </row>
    <row r="70" spans="2:19" x14ac:dyDescent="0.25">
      <c r="B70" s="468">
        <f t="shared" si="63"/>
        <v>4</v>
      </c>
      <c r="C70" s="469" t="s">
        <v>769</v>
      </c>
      <c r="D70" s="524">
        <f t="shared" ca="1" si="58"/>
        <v>7.4092116730000004E-2</v>
      </c>
      <c r="E70" s="528">
        <f ca="1">+'F4.1 (E) Exisiting'!E70+'F4.1 (N) New'!J45</f>
        <v>1.78227249E-2</v>
      </c>
      <c r="F70" s="528">
        <f>+'F4.1 (E) Exisiting'!F70+'F4.1 (N) New'!K45</f>
        <v>0</v>
      </c>
      <c r="G70" s="524">
        <f t="shared" ca="1" si="59"/>
        <v>9.1914841630000008E-2</v>
      </c>
      <c r="H70" s="526">
        <f t="shared" ca="1" si="55"/>
        <v>9.1914841630000008E-2</v>
      </c>
      <c r="I70" s="527">
        <f ca="1">+'F4.1 (E) Exisiting'!J70+'F4.1 (N) New'!O45</f>
        <v>-7.2849222999999286E-4</v>
      </c>
      <c r="J70" s="527">
        <f>+'F4.1 (E) Exisiting'!K70+'F4.1 (N) New'!P45</f>
        <v>0</v>
      </c>
      <c r="K70" s="524">
        <f t="shared" ca="1" si="60"/>
        <v>9.1186349400000019E-2</v>
      </c>
      <c r="L70" s="526">
        <f t="shared" ca="1" si="56"/>
        <v>9.1186349400000019E-2</v>
      </c>
      <c r="M70" s="527">
        <f ca="1">+'F4.1 (E) Exisiting'!O70+'F4.1 (N) New'!T45</f>
        <v>4.4999999999999997E-3</v>
      </c>
      <c r="N70" s="527">
        <f>+'F4.1 (E) Exisiting'!P70+'F4.1 (N) New'!U45</f>
        <v>0</v>
      </c>
      <c r="O70" s="524">
        <f t="shared" ca="1" si="61"/>
        <v>9.5686349400000023E-2</v>
      </c>
      <c r="P70" s="526">
        <f t="shared" ca="1" si="57"/>
        <v>9.5686349400000023E-2</v>
      </c>
      <c r="Q70" s="527">
        <f ca="1">+'F4.1 (E) Exisiting'!T70+'F4.1 (N) New'!Y45</f>
        <v>4.4999999999999997E-3</v>
      </c>
      <c r="R70" s="527">
        <f>+'F4.1 (E) Exisiting'!U70+'F4.1 (N) New'!Z45</f>
        <v>0</v>
      </c>
      <c r="S70" s="526">
        <f t="shared" ca="1" si="62"/>
        <v>9.5686349400000023E-2</v>
      </c>
    </row>
    <row r="71" spans="2:19" x14ac:dyDescent="0.25">
      <c r="B71" s="468">
        <f t="shared" si="63"/>
        <v>5</v>
      </c>
      <c r="C71" s="469" t="s">
        <v>770</v>
      </c>
      <c r="D71" s="524">
        <f t="shared" ca="1" si="58"/>
        <v>0.16357494918854998</v>
      </c>
      <c r="E71" s="528">
        <f ca="1">+'F4.1 (E) Exisiting'!E71+'F4.1 (N) New'!J46</f>
        <v>2.0659204605299998E-2</v>
      </c>
      <c r="F71" s="528">
        <f>+'F4.1 (E) Exisiting'!F71+'F4.1 (N) New'!K46</f>
        <v>0</v>
      </c>
      <c r="G71" s="524">
        <f t="shared" ca="1" si="59"/>
        <v>0.18423415379384997</v>
      </c>
      <c r="H71" s="526">
        <f t="shared" ca="1" si="55"/>
        <v>0.18423415379384997</v>
      </c>
      <c r="I71" s="527">
        <f ca="1">+'F4.1 (E) Exisiting'!J71+'F4.1 (N) New'!O46</f>
        <v>2.0659204605299998E-2</v>
      </c>
      <c r="J71" s="527">
        <f>+'F4.1 (E) Exisiting'!K71+'F4.1 (N) New'!P46</f>
        <v>0</v>
      </c>
      <c r="K71" s="524">
        <f t="shared" ca="1" si="60"/>
        <v>0.20489335839914996</v>
      </c>
      <c r="L71" s="526">
        <f t="shared" ca="1" si="56"/>
        <v>0.20489335839914996</v>
      </c>
      <c r="M71" s="527">
        <f ca="1">+'F4.1 (E) Exisiting'!O71+'F4.1 (N) New'!T46</f>
        <v>2.0659204605299998E-2</v>
      </c>
      <c r="N71" s="527">
        <f>+'F4.1 (E) Exisiting'!P71+'F4.1 (N) New'!U46</f>
        <v>0</v>
      </c>
      <c r="O71" s="524">
        <f t="shared" ca="1" si="61"/>
        <v>0.22555256300444995</v>
      </c>
      <c r="P71" s="526">
        <f t="shared" ca="1" si="57"/>
        <v>0.22555256300444995</v>
      </c>
      <c r="Q71" s="527">
        <f ca="1">+'F4.1 (E) Exisiting'!T71+'F4.1 (N) New'!Y46</f>
        <v>2.0659204605299998E-2</v>
      </c>
      <c r="R71" s="527">
        <f>+'F4.1 (E) Exisiting'!U71+'F4.1 (N) New'!Z46</f>
        <v>0</v>
      </c>
      <c r="S71" s="526">
        <f t="shared" ca="1" si="62"/>
        <v>0.22555256300444995</v>
      </c>
    </row>
    <row r="72" spans="2:19" x14ac:dyDescent="0.25">
      <c r="B72" s="468">
        <f t="shared" si="63"/>
        <v>6</v>
      </c>
      <c r="C72" s="469" t="s">
        <v>266</v>
      </c>
      <c r="D72" s="524">
        <f t="shared" ca="1" si="58"/>
        <v>0.34879020087569995</v>
      </c>
      <c r="E72" s="528">
        <f ca="1">+'F4.1 (E) Exisiting'!E72+'F4.1 (N) New'!J47</f>
        <v>0.10452120025019999</v>
      </c>
      <c r="F72" s="528">
        <f>+'F4.1 (E) Exisiting'!F72+'F4.1 (N) New'!K47</f>
        <v>0</v>
      </c>
      <c r="G72" s="524">
        <f t="shared" ca="1" si="59"/>
        <v>0.45331140112589996</v>
      </c>
      <c r="H72" s="526">
        <f t="shared" ca="1" si="55"/>
        <v>0.45331140112589996</v>
      </c>
      <c r="I72" s="527">
        <f ca="1">+'F4.1 (E) Exisiting'!J72+'F4.1 (N) New'!O47</f>
        <v>0.10452120025019999</v>
      </c>
      <c r="J72" s="527">
        <f>+'F4.1 (E) Exisiting'!K72+'F4.1 (N) New'!P47</f>
        <v>0</v>
      </c>
      <c r="K72" s="524">
        <f t="shared" ca="1" si="60"/>
        <v>0.55783260137609991</v>
      </c>
      <c r="L72" s="526">
        <f t="shared" ca="1" si="56"/>
        <v>0.55783260137609991</v>
      </c>
      <c r="M72" s="527">
        <f ca="1">+'F4.1 (E) Exisiting'!O72+'F4.1 (N) New'!T47</f>
        <v>0.10452120025019999</v>
      </c>
      <c r="N72" s="527">
        <f>+'F4.1 (E) Exisiting'!P72+'F4.1 (N) New'!U47</f>
        <v>0</v>
      </c>
      <c r="O72" s="524">
        <f t="shared" ca="1" si="61"/>
        <v>0.66235380162629987</v>
      </c>
      <c r="P72" s="526">
        <f t="shared" ca="1" si="57"/>
        <v>0.66235380162629987</v>
      </c>
      <c r="Q72" s="527">
        <f ca="1">+'F4.1 (E) Exisiting'!T72+'F4.1 (N) New'!Y47</f>
        <v>0.10452120025019999</v>
      </c>
      <c r="R72" s="527">
        <f>+'F4.1 (E) Exisiting'!U72+'F4.1 (N) New'!Z47</f>
        <v>0</v>
      </c>
      <c r="S72" s="526">
        <f t="shared" ca="1" si="62"/>
        <v>0.66235380162629987</v>
      </c>
    </row>
    <row r="73" spans="2:19" x14ac:dyDescent="0.25">
      <c r="B73" s="468"/>
      <c r="C73" s="469"/>
      <c r="D73" s="470"/>
      <c r="E73" s="470"/>
      <c r="F73" s="470"/>
      <c r="G73" s="470"/>
      <c r="H73" s="237"/>
      <c r="I73" s="471"/>
      <c r="J73" s="471"/>
      <c r="K73" s="470"/>
      <c r="L73" s="237"/>
      <c r="M73" s="471"/>
      <c r="N73" s="471"/>
      <c r="O73" s="470"/>
      <c r="P73" s="237"/>
      <c r="Q73" s="471"/>
      <c r="R73" s="471"/>
      <c r="S73" s="237"/>
    </row>
    <row r="74" spans="2:19" ht="16.8" x14ac:dyDescent="0.25">
      <c r="B74" s="472"/>
      <c r="C74" s="473" t="s">
        <v>180</v>
      </c>
      <c r="D74" s="525">
        <f ca="1">SUM(D67:D73)</f>
        <v>399.60528727405944</v>
      </c>
      <c r="E74" s="525">
        <f t="shared" ref="E74" ca="1" si="64">SUM(E67:E73)</f>
        <v>8.1562045280796198</v>
      </c>
      <c r="F74" s="525">
        <f t="shared" ref="F74" si="65">SUM(F67:F73)</f>
        <v>0</v>
      </c>
      <c r="G74" s="525">
        <f t="shared" ref="G74" ca="1" si="66">SUM(G67:G73)</f>
        <v>407.76149180213906</v>
      </c>
      <c r="H74" s="525">
        <f t="shared" ref="H74" ca="1" si="67">SUM(H67:H73)</f>
        <v>407.76149180213906</v>
      </c>
      <c r="I74" s="525">
        <f t="shared" ref="I74" ca="1" si="68">SUM(I67:I73)</f>
        <v>8.21319131094962</v>
      </c>
      <c r="J74" s="525">
        <f t="shared" ref="J74" si="69">SUM(J67:J73)</f>
        <v>0</v>
      </c>
      <c r="K74" s="525">
        <f t="shared" ref="K74" ca="1" si="70">SUM(K67:K73)</f>
        <v>415.97468311308864</v>
      </c>
      <c r="L74" s="525">
        <f t="shared" ref="L74" ca="1" si="71">SUM(L67:L73)</f>
        <v>415.97468311308864</v>
      </c>
      <c r="M74" s="525">
        <f t="shared" ref="M74" ca="1" si="72">SUM(M67:M73)</f>
        <v>8.3094401391796193</v>
      </c>
      <c r="N74" s="525">
        <f t="shared" ref="N74" si="73">SUM(N67:N73)</f>
        <v>0</v>
      </c>
      <c r="O74" s="525">
        <f t="shared" ref="O74" ca="1" si="74">SUM(O67:O73)</f>
        <v>424.28412325226827</v>
      </c>
      <c r="P74" s="525">
        <f t="shared" ref="P74" ca="1" si="75">SUM(P67:P73)</f>
        <v>424.28412325226827</v>
      </c>
      <c r="Q74" s="525">
        <f t="shared" ref="Q74" ca="1" si="76">SUM(Q67:Q73)</f>
        <v>8.3333624751796194</v>
      </c>
      <c r="R74" s="525">
        <f t="shared" ref="R74" si="77">SUM(R67:R73)</f>
        <v>0</v>
      </c>
      <c r="S74" s="525">
        <f t="shared" ref="S74" ca="1" si="78">SUM(S67:S73)</f>
        <v>424.28412325226827</v>
      </c>
    </row>
    <row r="75" spans="2:19" ht="16.8" x14ac:dyDescent="0.25">
      <c r="B75" s="474"/>
      <c r="C75" s="475"/>
      <c r="D75" s="475"/>
      <c r="E75" s="475"/>
      <c r="F75" s="475"/>
      <c r="G75" s="475"/>
      <c r="H75" s="474"/>
      <c r="I75" s="474"/>
      <c r="J75" s="474"/>
      <c r="K75" s="474"/>
      <c r="L75" s="474"/>
      <c r="M75" s="474"/>
      <c r="N75" s="474"/>
      <c r="O75" s="474"/>
      <c r="P75" s="474"/>
      <c r="Q75" s="474"/>
      <c r="R75" s="474"/>
      <c r="S75" s="474"/>
    </row>
    <row r="77" spans="2:19" x14ac:dyDescent="0.25">
      <c r="B77" s="282" t="s">
        <v>397</v>
      </c>
    </row>
    <row r="78" spans="2:19" x14ac:dyDescent="0.25">
      <c r="B78" s="282"/>
    </row>
    <row r="79" spans="2:19" x14ac:dyDescent="0.25">
      <c r="I79" s="457"/>
      <c r="K79" s="457"/>
      <c r="L79" s="457"/>
      <c r="O79" s="1"/>
      <c r="S79" s="234" t="s">
        <v>73</v>
      </c>
    </row>
    <row r="80" spans="2:19" ht="32.25" customHeight="1" x14ac:dyDescent="0.25">
      <c r="B80" s="1080" t="s">
        <v>1</v>
      </c>
      <c r="C80" s="1080" t="s">
        <v>74</v>
      </c>
      <c r="D80" s="1095" t="s">
        <v>75</v>
      </c>
      <c r="E80" s="1095"/>
      <c r="F80" s="1095"/>
      <c r="G80" s="1095"/>
      <c r="H80" s="1095" t="s">
        <v>76</v>
      </c>
      <c r="I80" s="1095"/>
      <c r="J80" s="1095"/>
      <c r="K80" s="1095"/>
      <c r="L80" s="1080" t="s">
        <v>77</v>
      </c>
      <c r="M80" s="1080"/>
      <c r="N80" s="1080"/>
      <c r="O80" s="1080"/>
      <c r="P80" s="1080" t="s">
        <v>87</v>
      </c>
      <c r="Q80" s="1080"/>
      <c r="R80" s="1080"/>
      <c r="S80" s="1080"/>
    </row>
    <row r="81" spans="2:34" ht="15" customHeight="1" x14ac:dyDescent="0.25">
      <c r="B81" s="1080"/>
      <c r="C81" s="1080"/>
      <c r="D81" s="1095" t="s">
        <v>391</v>
      </c>
      <c r="E81" s="1100"/>
      <c r="F81" s="1100"/>
      <c r="G81" s="1100"/>
      <c r="H81" s="1095" t="s">
        <v>391</v>
      </c>
      <c r="I81" s="1100"/>
      <c r="J81" s="1100"/>
      <c r="K81" s="1100"/>
      <c r="L81" s="1095" t="s">
        <v>135</v>
      </c>
      <c r="M81" s="1100"/>
      <c r="N81" s="1100"/>
      <c r="O81" s="1100"/>
      <c r="P81" s="1095" t="s">
        <v>103</v>
      </c>
      <c r="Q81" s="1100"/>
      <c r="R81" s="1100"/>
      <c r="S81" s="1100"/>
    </row>
    <row r="82" spans="2:34" ht="41.4" x14ac:dyDescent="0.25">
      <c r="B82" s="1080"/>
      <c r="C82" s="1080"/>
      <c r="D82" s="424" t="s">
        <v>360</v>
      </c>
      <c r="E82" s="424" t="s">
        <v>361</v>
      </c>
      <c r="F82" s="426" t="s">
        <v>393</v>
      </c>
      <c r="G82" s="424" t="s">
        <v>363</v>
      </c>
      <c r="H82" s="424" t="s">
        <v>360</v>
      </c>
      <c r="I82" s="424" t="s">
        <v>361</v>
      </c>
      <c r="J82" s="426" t="s">
        <v>393</v>
      </c>
      <c r="K82" s="424" t="s">
        <v>363</v>
      </c>
      <c r="L82" s="424" t="s">
        <v>360</v>
      </c>
      <c r="M82" s="424" t="s">
        <v>361</v>
      </c>
      <c r="N82" s="426" t="s">
        <v>393</v>
      </c>
      <c r="O82" s="424" t="s">
        <v>363</v>
      </c>
      <c r="P82" s="424" t="s">
        <v>360</v>
      </c>
      <c r="Q82" s="424" t="s">
        <v>361</v>
      </c>
      <c r="R82" s="426" t="s">
        <v>393</v>
      </c>
      <c r="S82" s="424" t="s">
        <v>363</v>
      </c>
    </row>
    <row r="83" spans="2:34" ht="27.6" x14ac:dyDescent="0.25">
      <c r="B83" s="418"/>
      <c r="C83" s="418"/>
      <c r="D83" s="418" t="s">
        <v>92</v>
      </c>
      <c r="E83" s="418" t="s">
        <v>93</v>
      </c>
      <c r="F83" s="418" t="s">
        <v>191</v>
      </c>
      <c r="G83" s="418" t="s">
        <v>364</v>
      </c>
      <c r="H83" s="418" t="s">
        <v>95</v>
      </c>
      <c r="I83" s="418" t="s">
        <v>96</v>
      </c>
      <c r="J83" s="418" t="s">
        <v>365</v>
      </c>
      <c r="K83" s="418" t="s">
        <v>366</v>
      </c>
      <c r="L83" s="418" t="s">
        <v>98</v>
      </c>
      <c r="M83" s="418" t="s">
        <v>99</v>
      </c>
      <c r="N83" s="418" t="s">
        <v>367</v>
      </c>
      <c r="O83" s="418" t="s">
        <v>368</v>
      </c>
      <c r="P83" s="418" t="s">
        <v>369</v>
      </c>
      <c r="Q83" s="418" t="s">
        <v>370</v>
      </c>
      <c r="R83" s="418" t="s">
        <v>371</v>
      </c>
      <c r="S83" s="418" t="s">
        <v>372</v>
      </c>
    </row>
    <row r="84" spans="2:34" x14ac:dyDescent="0.25">
      <c r="B84" s="468">
        <v>1</v>
      </c>
      <c r="C84" s="469" t="s">
        <v>732</v>
      </c>
      <c r="D84" s="524">
        <f>+D16-D50</f>
        <v>0</v>
      </c>
      <c r="E84" s="524">
        <f t="shared" ref="E84:S84" si="79">+E16-E50</f>
        <v>0.69781309999999996</v>
      </c>
      <c r="F84" s="524">
        <f t="shared" si="79"/>
        <v>0</v>
      </c>
      <c r="G84" s="524">
        <f t="shared" si="79"/>
        <v>0.69781309999999996</v>
      </c>
      <c r="H84" s="524">
        <f t="shared" si="79"/>
        <v>0.69781309999999996</v>
      </c>
      <c r="I84" s="524">
        <f t="shared" si="79"/>
        <v>0</v>
      </c>
      <c r="J84" s="524">
        <f t="shared" si="79"/>
        <v>0</v>
      </c>
      <c r="K84" s="524">
        <f t="shared" si="79"/>
        <v>0.69781309999999996</v>
      </c>
      <c r="L84" s="524">
        <f t="shared" si="79"/>
        <v>0.69781309999999996</v>
      </c>
      <c r="M84" s="524">
        <f t="shared" si="79"/>
        <v>0</v>
      </c>
      <c r="N84" s="524">
        <f t="shared" si="79"/>
        <v>0</v>
      </c>
      <c r="O84" s="524">
        <f t="shared" si="79"/>
        <v>0.69781309999999996</v>
      </c>
      <c r="P84" s="524">
        <f t="shared" si="79"/>
        <v>0.69781309999999996</v>
      </c>
      <c r="Q84" s="524">
        <f t="shared" si="79"/>
        <v>0</v>
      </c>
      <c r="R84" s="524">
        <f t="shared" si="79"/>
        <v>0</v>
      </c>
      <c r="S84" s="524">
        <f t="shared" si="79"/>
        <v>0.69781309999999996</v>
      </c>
    </row>
    <row r="85" spans="2:34" x14ac:dyDescent="0.25">
      <c r="B85" s="468">
        <f>+B84+1</f>
        <v>2</v>
      </c>
      <c r="C85" s="469" t="s">
        <v>265</v>
      </c>
      <c r="D85" s="524">
        <f t="shared" ref="D85:S85" si="80">+D17-D51</f>
        <v>247.78916846312006</v>
      </c>
      <c r="E85" s="524">
        <f t="shared" si="80"/>
        <v>-28.072330214015206</v>
      </c>
      <c r="F85" s="524">
        <f t="shared" si="80"/>
        <v>0</v>
      </c>
      <c r="G85" s="524">
        <f t="shared" si="80"/>
        <v>219.7168382491048</v>
      </c>
      <c r="H85" s="524">
        <f t="shared" si="80"/>
        <v>219.7168382491048</v>
      </c>
      <c r="I85" s="524">
        <f t="shared" si="80"/>
        <v>-29.158353451775202</v>
      </c>
      <c r="J85" s="524">
        <f t="shared" si="80"/>
        <v>0</v>
      </c>
      <c r="K85" s="524">
        <f t="shared" si="80"/>
        <v>190.55848479732958</v>
      </c>
      <c r="L85" s="524">
        <f t="shared" si="80"/>
        <v>190.55848479732958</v>
      </c>
      <c r="M85" s="524">
        <f t="shared" si="80"/>
        <v>-28.586799190560004</v>
      </c>
      <c r="N85" s="524">
        <f t="shared" si="80"/>
        <v>0</v>
      </c>
      <c r="O85" s="524">
        <f t="shared" si="80"/>
        <v>161.9716856067696</v>
      </c>
      <c r="P85" s="524">
        <f t="shared" si="80"/>
        <v>161.9716856067696</v>
      </c>
      <c r="Q85" s="524">
        <f t="shared" ca="1" si="80"/>
        <v>2.1931565768181809</v>
      </c>
      <c r="R85" s="524">
        <f t="shared" si="80"/>
        <v>0</v>
      </c>
      <c r="S85" s="524">
        <f t="shared" ca="1" si="80"/>
        <v>164.16484218358784</v>
      </c>
    </row>
    <row r="86" spans="2:34" x14ac:dyDescent="0.25">
      <c r="B86" s="468">
        <f t="shared" ref="B86:B89" si="81">+B85+1</f>
        <v>3</v>
      </c>
      <c r="C86" s="238" t="s">
        <v>272</v>
      </c>
      <c r="D86" s="524">
        <f t="shared" ref="D86:S86" si="82">+D18-D52</f>
        <v>0.12738015162000002</v>
      </c>
      <c r="E86" s="524">
        <f t="shared" si="82"/>
        <v>4.4847352142499998E-2</v>
      </c>
      <c r="F86" s="524">
        <f t="shared" si="82"/>
        <v>0</v>
      </c>
      <c r="G86" s="524">
        <f t="shared" si="82"/>
        <v>0.17222750376250001</v>
      </c>
      <c r="H86" s="524">
        <f t="shared" si="82"/>
        <v>0.17222750376250001</v>
      </c>
      <c r="I86" s="524">
        <f t="shared" si="82"/>
        <v>0.38577566866925</v>
      </c>
      <c r="J86" s="524">
        <f t="shared" si="82"/>
        <v>-3.7785430000000005E-3</v>
      </c>
      <c r="K86" s="524">
        <f t="shared" si="82"/>
        <v>0.56178171543174993</v>
      </c>
      <c r="L86" s="524">
        <f t="shared" si="82"/>
        <v>0.56178171543174993</v>
      </c>
      <c r="M86" s="524">
        <f t="shared" si="82"/>
        <v>-4.0388225142299998E-2</v>
      </c>
      <c r="N86" s="524">
        <f t="shared" si="82"/>
        <v>0</v>
      </c>
      <c r="O86" s="524">
        <f t="shared" si="82"/>
        <v>0.52139349028944992</v>
      </c>
      <c r="P86" s="524">
        <f t="shared" si="82"/>
        <v>0.52139349028944992</v>
      </c>
      <c r="Q86" s="524">
        <f t="shared" ca="1" si="82"/>
        <v>7.6664985770000249E-4</v>
      </c>
      <c r="R86" s="524">
        <f t="shared" si="82"/>
        <v>0</v>
      </c>
      <c r="S86" s="524">
        <f t="shared" ca="1" si="82"/>
        <v>0.52216014014714995</v>
      </c>
    </row>
    <row r="87" spans="2:34" x14ac:dyDescent="0.25">
      <c r="B87" s="468">
        <f t="shared" si="81"/>
        <v>4</v>
      </c>
      <c r="C87" s="469" t="s">
        <v>769</v>
      </c>
      <c r="D87" s="524">
        <f t="shared" ref="D87:S87" si="83">+D19-D53</f>
        <v>8.3967665000000032E-3</v>
      </c>
      <c r="E87" s="524">
        <f t="shared" si="83"/>
        <v>6.3977005500000014E-3</v>
      </c>
      <c r="F87" s="524">
        <f t="shared" si="83"/>
        <v>-5.8401000000000026E-4</v>
      </c>
      <c r="G87" s="524">
        <f t="shared" si="83"/>
        <v>1.5378477050000006E-2</v>
      </c>
      <c r="H87" s="524">
        <f t="shared" si="83"/>
        <v>1.5378477050000006E-2</v>
      </c>
      <c r="I87" s="524">
        <f t="shared" si="83"/>
        <v>2.7673442020000001E-2</v>
      </c>
      <c r="J87" s="524">
        <f t="shared" si="83"/>
        <v>-5.6958000000000009E-4</v>
      </c>
      <c r="K87" s="524">
        <f t="shared" si="83"/>
        <v>4.362149907E-2</v>
      </c>
      <c r="L87" s="524">
        <f t="shared" si="83"/>
        <v>4.362149907E-2</v>
      </c>
      <c r="M87" s="524">
        <f t="shared" si="83"/>
        <v>-1.3322724900000001E-2</v>
      </c>
      <c r="N87" s="524">
        <f t="shared" si="83"/>
        <v>0</v>
      </c>
      <c r="O87" s="524">
        <f t="shared" si="83"/>
        <v>3.0298774170000001E-2</v>
      </c>
      <c r="P87" s="524">
        <f t="shared" si="83"/>
        <v>3.0298774170000001E-2</v>
      </c>
      <c r="Q87" s="524">
        <f t="shared" ca="1" si="83"/>
        <v>1.4427275099999998E-2</v>
      </c>
      <c r="R87" s="524">
        <f t="shared" si="83"/>
        <v>0</v>
      </c>
      <c r="S87" s="524">
        <f t="shared" ca="1" si="83"/>
        <v>4.4726049269999998E-2</v>
      </c>
    </row>
    <row r="88" spans="2:34" x14ac:dyDescent="0.25">
      <c r="B88" s="468">
        <f t="shared" si="81"/>
        <v>5</v>
      </c>
      <c r="C88" s="469" t="s">
        <v>770</v>
      </c>
      <c r="D88" s="524">
        <f t="shared" ref="D88:S88" si="84">+D20-D54</f>
        <v>5.4903680600000004E-2</v>
      </c>
      <c r="E88" s="524">
        <f t="shared" si="84"/>
        <v>0.16815407841735</v>
      </c>
      <c r="F88" s="524">
        <f t="shared" si="84"/>
        <v>0</v>
      </c>
      <c r="G88" s="524">
        <f t="shared" si="84"/>
        <v>0.22305775901735</v>
      </c>
      <c r="H88" s="524">
        <f t="shared" si="84"/>
        <v>0.22305775901735</v>
      </c>
      <c r="I88" s="524">
        <f t="shared" si="84"/>
        <v>-1.9650727995299998E-2</v>
      </c>
      <c r="J88" s="524">
        <f t="shared" si="84"/>
        <v>-7.0617000000000076E-4</v>
      </c>
      <c r="K88" s="524">
        <f t="shared" si="84"/>
        <v>0.20411320102204999</v>
      </c>
      <c r="L88" s="524">
        <f t="shared" si="84"/>
        <v>0.20411320102204999</v>
      </c>
      <c r="M88" s="524">
        <f t="shared" si="84"/>
        <v>-2.0659204605299998E-2</v>
      </c>
      <c r="N88" s="524">
        <f t="shared" si="84"/>
        <v>0</v>
      </c>
      <c r="O88" s="524">
        <f t="shared" si="84"/>
        <v>0.18345399641675</v>
      </c>
      <c r="P88" s="524">
        <f t="shared" si="84"/>
        <v>0.18345399641675</v>
      </c>
      <c r="Q88" s="524">
        <f t="shared" ca="1" si="84"/>
        <v>-2.0659204605299998E-2</v>
      </c>
      <c r="R88" s="524">
        <f t="shared" si="84"/>
        <v>0</v>
      </c>
      <c r="S88" s="524">
        <f t="shared" ca="1" si="84"/>
        <v>0.16279479181145001</v>
      </c>
    </row>
    <row r="89" spans="2:34" x14ac:dyDescent="0.25">
      <c r="B89" s="468">
        <f t="shared" si="81"/>
        <v>6</v>
      </c>
      <c r="C89" s="469" t="s">
        <v>266</v>
      </c>
      <c r="D89" s="524">
        <f t="shared" ref="D89:S89" si="85">+D21-D55</f>
        <v>0</v>
      </c>
      <c r="E89" s="524">
        <f t="shared" si="85"/>
        <v>2.9099556528749</v>
      </c>
      <c r="F89" s="524">
        <f t="shared" si="85"/>
        <v>0</v>
      </c>
      <c r="G89" s="524">
        <f t="shared" si="85"/>
        <v>2.9099556528749</v>
      </c>
      <c r="H89" s="524">
        <f t="shared" si="85"/>
        <v>2.9099556528749</v>
      </c>
      <c r="I89" s="524">
        <f t="shared" si="85"/>
        <v>-9.8843200250199992E-2</v>
      </c>
      <c r="J89" s="524">
        <f t="shared" si="85"/>
        <v>0</v>
      </c>
      <c r="K89" s="524">
        <f t="shared" si="85"/>
        <v>2.8111124526247</v>
      </c>
      <c r="L89" s="524">
        <f t="shared" si="85"/>
        <v>2.8111124526247</v>
      </c>
      <c r="M89" s="524">
        <f t="shared" si="85"/>
        <v>-9.8843200250199992E-2</v>
      </c>
      <c r="N89" s="524">
        <f t="shared" si="85"/>
        <v>0</v>
      </c>
      <c r="O89" s="524">
        <f t="shared" si="85"/>
        <v>2.7122692523745</v>
      </c>
      <c r="P89" s="524">
        <f t="shared" si="85"/>
        <v>2.7122692523745</v>
      </c>
      <c r="Q89" s="524">
        <f t="shared" ca="1" si="85"/>
        <v>6.8317799749800026E-2</v>
      </c>
      <c r="R89" s="524">
        <f t="shared" si="85"/>
        <v>0</v>
      </c>
      <c r="S89" s="524">
        <f t="shared" ca="1" si="85"/>
        <v>2.7805870521243001</v>
      </c>
    </row>
    <row r="90" spans="2:34" x14ac:dyDescent="0.25">
      <c r="B90" s="468"/>
      <c r="C90" s="469"/>
      <c r="D90" s="470"/>
      <c r="E90" s="470"/>
      <c r="F90" s="470"/>
      <c r="G90" s="470"/>
      <c r="H90" s="237"/>
      <c r="I90" s="471"/>
      <c r="J90" s="471"/>
      <c r="K90" s="237"/>
      <c r="L90" s="237"/>
      <c r="M90" s="471"/>
      <c r="N90" s="471"/>
      <c r="O90" s="237"/>
      <c r="P90" s="237"/>
      <c r="Q90" s="237"/>
      <c r="R90" s="237"/>
      <c r="S90" s="237"/>
    </row>
    <row r="91" spans="2:34" ht="16.8" x14ac:dyDescent="0.25">
      <c r="B91" s="472"/>
      <c r="C91" s="473" t="s">
        <v>180</v>
      </c>
      <c r="D91" s="525">
        <f>SUM(D84:D90)</f>
        <v>247.97984906184007</v>
      </c>
      <c r="E91" s="525">
        <f t="shared" ref="E91" si="86">SUM(E84:E90)</f>
        <v>-24.245162330030457</v>
      </c>
      <c r="F91" s="525">
        <f t="shared" ref="F91" si="87">SUM(F84:F90)</f>
        <v>-5.8401000000000026E-4</v>
      </c>
      <c r="G91" s="525">
        <f t="shared" ref="G91" si="88">SUM(G84:G90)</f>
        <v>223.73527074180956</v>
      </c>
      <c r="H91" s="525">
        <f t="shared" ref="H91" si="89">SUM(H84:H90)</f>
        <v>223.73527074180956</v>
      </c>
      <c r="I91" s="525">
        <f t="shared" ref="I91" si="90">SUM(I84:I90)</f>
        <v>-28.863398269331455</v>
      </c>
      <c r="J91" s="525">
        <f t="shared" ref="J91" si="91">SUM(J84:J90)</f>
        <v>-5.0542930000000014E-3</v>
      </c>
      <c r="K91" s="525">
        <f t="shared" ref="K91" si="92">SUM(K84:K90)</f>
        <v>194.87692676547809</v>
      </c>
      <c r="L91" s="525">
        <f t="shared" ref="L91" si="93">SUM(L84:L90)</f>
        <v>194.87692676547809</v>
      </c>
      <c r="M91" s="525">
        <f t="shared" ref="M91" si="94">SUM(M84:M90)</f>
        <v>-28.760012545457805</v>
      </c>
      <c r="N91" s="525">
        <f t="shared" ref="N91" si="95">SUM(N84:N90)</f>
        <v>0</v>
      </c>
      <c r="O91" s="525">
        <f t="shared" ref="O91" si="96">SUM(O84:O90)</f>
        <v>166.11691422002031</v>
      </c>
      <c r="P91" s="525">
        <f t="shared" ref="P91" si="97">SUM(P84:P90)</f>
        <v>166.11691422002031</v>
      </c>
      <c r="Q91" s="525">
        <f t="shared" ref="Q91" ca="1" si="98">SUM(Q84:Q90)</f>
        <v>2.2560090969203812</v>
      </c>
      <c r="R91" s="525">
        <f t="shared" ref="R91" si="99">SUM(R84:R90)</f>
        <v>0</v>
      </c>
      <c r="S91" s="525">
        <f t="shared" ref="S91" ca="1" si="100">SUM(S84:S90)</f>
        <v>168.37292331694073</v>
      </c>
    </row>
    <row r="92" spans="2:34" ht="16.8" x14ac:dyDescent="0.25">
      <c r="B92" s="474"/>
      <c r="C92" s="475"/>
      <c r="D92" s="475"/>
      <c r="E92" s="475"/>
      <c r="F92" s="475"/>
      <c r="G92" s="475"/>
      <c r="H92" s="474"/>
      <c r="I92" s="474"/>
      <c r="J92" s="474"/>
      <c r="K92" s="474"/>
      <c r="L92" s="474"/>
      <c r="M92" s="474"/>
      <c r="N92" s="474"/>
      <c r="O92" s="474"/>
      <c r="Q92" s="476"/>
      <c r="R92" s="476"/>
    </row>
    <row r="93" spans="2:34" ht="16.8" x14ac:dyDescent="0.25">
      <c r="B93" s="454" t="s">
        <v>398</v>
      </c>
      <c r="C93" s="455"/>
      <c r="D93" s="455"/>
      <c r="E93" s="455"/>
      <c r="F93" s="455"/>
      <c r="G93" s="475"/>
      <c r="H93" s="474"/>
      <c r="I93" s="474"/>
      <c r="J93" s="474"/>
      <c r="K93" s="474"/>
      <c r="L93" s="474"/>
      <c r="M93" s="474"/>
      <c r="N93" s="474"/>
      <c r="O93" s="474"/>
      <c r="Q93" s="476"/>
      <c r="R93" s="476"/>
    </row>
    <row r="94" spans="2:34" ht="16.8" x14ac:dyDescent="0.25">
      <c r="B94" s="474"/>
      <c r="C94" s="475"/>
      <c r="D94" s="475"/>
      <c r="E94" s="475"/>
      <c r="F94" s="475"/>
      <c r="G94" s="475"/>
      <c r="H94" s="474"/>
      <c r="I94" s="474"/>
      <c r="J94" s="474"/>
      <c r="K94" s="474"/>
      <c r="L94" s="474"/>
      <c r="M94" s="474"/>
      <c r="N94" s="474"/>
      <c r="O94" s="474"/>
      <c r="P94" s="474"/>
      <c r="Q94" s="474"/>
      <c r="R94" s="474"/>
      <c r="S94" s="474"/>
      <c r="T94" s="474"/>
      <c r="U94" s="474"/>
      <c r="V94" s="474"/>
      <c r="W94" s="474"/>
      <c r="X94" s="474"/>
      <c r="Y94" s="474"/>
      <c r="Z94" s="474"/>
      <c r="AA94" s="474"/>
      <c r="AB94" s="474"/>
      <c r="AC94" s="474"/>
      <c r="AD94" s="474"/>
      <c r="AE94" s="474"/>
      <c r="AF94" s="474"/>
      <c r="AG94" s="474"/>
      <c r="AH94" s="474"/>
    </row>
    <row r="95" spans="2:34" ht="16.8" x14ac:dyDescent="0.25">
      <c r="B95" s="474"/>
      <c r="C95" s="475"/>
      <c r="D95" s="475"/>
      <c r="E95" s="475"/>
      <c r="F95" s="475"/>
      <c r="G95" s="475"/>
      <c r="H95" s="474"/>
      <c r="I95" s="474"/>
      <c r="J95" s="474"/>
      <c r="K95" s="474"/>
      <c r="L95" s="474"/>
      <c r="M95" s="474"/>
      <c r="N95" s="474"/>
      <c r="O95" s="474"/>
      <c r="P95" s="474"/>
      <c r="Q95" s="474"/>
      <c r="R95" s="474"/>
      <c r="S95" s="234" t="s">
        <v>73</v>
      </c>
      <c r="T95" s="474"/>
      <c r="U95" s="474"/>
      <c r="V95" s="474"/>
      <c r="W95" s="474"/>
      <c r="X95" s="474"/>
      <c r="Y95" s="474"/>
      <c r="Z95" s="474"/>
      <c r="AA95" s="474"/>
      <c r="AB95" s="474"/>
      <c r="AC95" s="474"/>
      <c r="AD95" s="474"/>
      <c r="AE95" s="474"/>
      <c r="AF95" s="474"/>
      <c r="AG95" s="474"/>
      <c r="AH95" s="474"/>
    </row>
    <row r="96" spans="2:34" ht="15" customHeight="1" x14ac:dyDescent="0.25">
      <c r="B96" s="1080" t="s">
        <v>1</v>
      </c>
      <c r="C96" s="1080" t="s">
        <v>74</v>
      </c>
      <c r="D96" s="1097" t="s">
        <v>88</v>
      </c>
      <c r="E96" s="1098"/>
      <c r="F96" s="1098"/>
      <c r="G96" s="1099"/>
      <c r="H96" s="1080" t="s">
        <v>89</v>
      </c>
      <c r="I96" s="1080"/>
      <c r="J96" s="1080"/>
      <c r="K96" s="1080"/>
      <c r="L96" s="1080" t="s">
        <v>90</v>
      </c>
      <c r="M96" s="1080"/>
      <c r="N96" s="1080"/>
      <c r="O96" s="1080"/>
      <c r="P96" s="1080" t="s">
        <v>91</v>
      </c>
      <c r="Q96" s="1080"/>
      <c r="R96" s="1080"/>
      <c r="S96" s="1080"/>
    </row>
    <row r="97" spans="2:19" x14ac:dyDescent="0.25">
      <c r="B97" s="1080"/>
      <c r="C97" s="1080"/>
      <c r="D97" s="1095" t="s">
        <v>103</v>
      </c>
      <c r="E97" s="1100"/>
      <c r="F97" s="1100"/>
      <c r="G97" s="1100"/>
      <c r="H97" s="1095" t="s">
        <v>103</v>
      </c>
      <c r="I97" s="1100"/>
      <c r="J97" s="1100"/>
      <c r="K97" s="1100"/>
      <c r="L97" s="1095" t="s">
        <v>103</v>
      </c>
      <c r="M97" s="1100"/>
      <c r="N97" s="1100"/>
      <c r="O97" s="1100"/>
      <c r="P97" s="1095" t="s">
        <v>103</v>
      </c>
      <c r="Q97" s="1100"/>
      <c r="R97" s="1100"/>
      <c r="S97" s="1100"/>
    </row>
    <row r="98" spans="2:19" ht="41.4" x14ac:dyDescent="0.25">
      <c r="B98" s="1080"/>
      <c r="C98" s="1080"/>
      <c r="D98" s="424" t="s">
        <v>360</v>
      </c>
      <c r="E98" s="424" t="s">
        <v>361</v>
      </c>
      <c r="F98" s="426" t="s">
        <v>393</v>
      </c>
      <c r="G98" s="424" t="s">
        <v>363</v>
      </c>
      <c r="H98" s="424" t="s">
        <v>360</v>
      </c>
      <c r="I98" s="424" t="s">
        <v>361</v>
      </c>
      <c r="J98" s="426" t="s">
        <v>393</v>
      </c>
      <c r="K98" s="424" t="s">
        <v>363</v>
      </c>
      <c r="L98" s="424" t="s">
        <v>360</v>
      </c>
      <c r="M98" s="424" t="s">
        <v>361</v>
      </c>
      <c r="N98" s="426" t="s">
        <v>393</v>
      </c>
      <c r="O98" s="424" t="s">
        <v>363</v>
      </c>
      <c r="P98" s="424" t="s">
        <v>360</v>
      </c>
      <c r="Q98" s="424" t="s">
        <v>361</v>
      </c>
      <c r="R98" s="426" t="s">
        <v>393</v>
      </c>
      <c r="S98" s="424" t="s">
        <v>363</v>
      </c>
    </row>
    <row r="99" spans="2:19" ht="27.6" x14ac:dyDescent="0.25">
      <c r="B99" s="418"/>
      <c r="C99" s="418"/>
      <c r="D99" s="418" t="s">
        <v>374</v>
      </c>
      <c r="E99" s="418" t="s">
        <v>375</v>
      </c>
      <c r="F99" s="418" t="s">
        <v>376</v>
      </c>
      <c r="G99" s="418" t="s">
        <v>377</v>
      </c>
      <c r="H99" s="418" t="s">
        <v>378</v>
      </c>
      <c r="I99" s="418" t="s">
        <v>379</v>
      </c>
      <c r="J99" s="418" t="s">
        <v>380</v>
      </c>
      <c r="K99" s="418" t="s">
        <v>381</v>
      </c>
      <c r="L99" s="418" t="s">
        <v>382</v>
      </c>
      <c r="M99" s="418" t="s">
        <v>383</v>
      </c>
      <c r="N99" s="418" t="s">
        <v>384</v>
      </c>
      <c r="O99" s="418" t="s">
        <v>385</v>
      </c>
      <c r="P99" s="418" t="s">
        <v>386</v>
      </c>
      <c r="Q99" s="418" t="s">
        <v>387</v>
      </c>
      <c r="R99" s="418" t="s">
        <v>388</v>
      </c>
      <c r="S99" s="418" t="s">
        <v>389</v>
      </c>
    </row>
    <row r="100" spans="2:19" x14ac:dyDescent="0.25">
      <c r="B100" s="468">
        <v>1</v>
      </c>
      <c r="C100" s="469" t="s">
        <v>732</v>
      </c>
      <c r="D100" s="524">
        <f>+D32-D67</f>
        <v>0.69781309999999996</v>
      </c>
      <c r="E100" s="524">
        <f t="shared" ref="E100:S100" si="101">+E32-E67</f>
        <v>0</v>
      </c>
      <c r="F100" s="524">
        <f t="shared" si="101"/>
        <v>0</v>
      </c>
      <c r="G100" s="524">
        <f t="shared" si="101"/>
        <v>0.69781309999999996</v>
      </c>
      <c r="H100" s="524">
        <f t="shared" si="101"/>
        <v>0.69781309999999996</v>
      </c>
      <c r="I100" s="524">
        <f t="shared" si="101"/>
        <v>0</v>
      </c>
      <c r="J100" s="524">
        <f t="shared" si="101"/>
        <v>0</v>
      </c>
      <c r="K100" s="524">
        <f t="shared" si="101"/>
        <v>0.69781309999999996</v>
      </c>
      <c r="L100" s="524">
        <f t="shared" si="101"/>
        <v>0.69781309999999996</v>
      </c>
      <c r="M100" s="524">
        <f t="shared" si="101"/>
        <v>0</v>
      </c>
      <c r="N100" s="524">
        <f t="shared" si="101"/>
        <v>0</v>
      </c>
      <c r="O100" s="524">
        <f t="shared" si="101"/>
        <v>0.69781309999999996</v>
      </c>
      <c r="P100" s="524">
        <f t="shared" si="101"/>
        <v>0.69781309999999996</v>
      </c>
      <c r="Q100" s="524">
        <f t="shared" si="101"/>
        <v>0</v>
      </c>
      <c r="R100" s="524">
        <f t="shared" si="101"/>
        <v>0</v>
      </c>
      <c r="S100" s="524">
        <f t="shared" si="101"/>
        <v>0.69781309999999996</v>
      </c>
    </row>
    <row r="101" spans="2:19" x14ac:dyDescent="0.25">
      <c r="B101" s="468">
        <f>+B100+1</f>
        <v>2</v>
      </c>
      <c r="C101" s="469" t="s">
        <v>265</v>
      </c>
      <c r="D101" s="524">
        <f t="shared" ref="D101:S105" ca="1" si="102">+D33-D68</f>
        <v>164.16484218358784</v>
      </c>
      <c r="E101" s="524">
        <f t="shared" ca="1" si="102"/>
        <v>-7.5701229231818186</v>
      </c>
      <c r="F101" s="524">
        <f t="shared" si="102"/>
        <v>0</v>
      </c>
      <c r="G101" s="524">
        <f t="shared" ca="1" si="102"/>
        <v>156.59471926040601</v>
      </c>
      <c r="H101" s="524">
        <f t="shared" ca="1" si="102"/>
        <v>156.59471926040601</v>
      </c>
      <c r="I101" s="524">
        <f t="shared" ca="1" si="102"/>
        <v>-4.8656609231818191</v>
      </c>
      <c r="J101" s="524">
        <f t="shared" si="102"/>
        <v>0</v>
      </c>
      <c r="K101" s="524">
        <f t="shared" ca="1" si="102"/>
        <v>151.72905833722416</v>
      </c>
      <c r="L101" s="524">
        <f t="shared" ca="1" si="102"/>
        <v>151.72905833722416</v>
      </c>
      <c r="M101" s="524">
        <f t="shared" ca="1" si="102"/>
        <v>-7.002921259181818</v>
      </c>
      <c r="N101" s="524">
        <f t="shared" si="102"/>
        <v>0</v>
      </c>
      <c r="O101" s="524">
        <f t="shared" ca="1" si="102"/>
        <v>144.72613707804237</v>
      </c>
      <c r="P101" s="524">
        <f t="shared" ca="1" si="102"/>
        <v>144.72613707804237</v>
      </c>
      <c r="Q101" s="524">
        <f t="shared" ca="1" si="102"/>
        <v>-8.1606035951818185</v>
      </c>
      <c r="R101" s="524">
        <f t="shared" si="102"/>
        <v>0</v>
      </c>
      <c r="S101" s="524">
        <f t="shared" ca="1" si="102"/>
        <v>144.72613707804237</v>
      </c>
    </row>
    <row r="102" spans="2:19" x14ac:dyDescent="0.25">
      <c r="B102" s="468">
        <f t="shared" ref="B102:B105" si="103">+B101+1</f>
        <v>3</v>
      </c>
      <c r="C102" s="238" t="s">
        <v>272</v>
      </c>
      <c r="D102" s="524">
        <f t="shared" ca="1" si="102"/>
        <v>0.52216014014714995</v>
      </c>
      <c r="E102" s="524">
        <f t="shared" ca="1" si="102"/>
        <v>-4.3078475142299996E-2</v>
      </c>
      <c r="F102" s="524">
        <f t="shared" si="102"/>
        <v>0</v>
      </c>
      <c r="G102" s="524">
        <f t="shared" ca="1" si="102"/>
        <v>0.47908166500484994</v>
      </c>
      <c r="H102" s="524">
        <f t="shared" ca="1" si="102"/>
        <v>0.47908166500484994</v>
      </c>
      <c r="I102" s="524">
        <f t="shared" ca="1" si="102"/>
        <v>-4.3078475142299996E-2</v>
      </c>
      <c r="J102" s="524">
        <f t="shared" si="102"/>
        <v>0</v>
      </c>
      <c r="K102" s="524">
        <f t="shared" ca="1" si="102"/>
        <v>0.43600318986254993</v>
      </c>
      <c r="L102" s="524">
        <f t="shared" ca="1" si="102"/>
        <v>0.43600318986254993</v>
      </c>
      <c r="M102" s="524">
        <f t="shared" ca="1" si="102"/>
        <v>-4.3078475142299996E-2</v>
      </c>
      <c r="N102" s="524">
        <f t="shared" si="102"/>
        <v>0</v>
      </c>
      <c r="O102" s="524">
        <f t="shared" ca="1" si="102"/>
        <v>0.39292471472024992</v>
      </c>
      <c r="P102" s="524">
        <f t="shared" ca="1" si="102"/>
        <v>0.39292471472024992</v>
      </c>
      <c r="Q102" s="524">
        <f t="shared" ca="1" si="102"/>
        <v>-4.3078475142299996E-2</v>
      </c>
      <c r="R102" s="524">
        <f t="shared" si="102"/>
        <v>0</v>
      </c>
      <c r="S102" s="524">
        <f t="shared" ca="1" si="102"/>
        <v>0.39292471472024992</v>
      </c>
    </row>
    <row r="103" spans="2:19" x14ac:dyDescent="0.25">
      <c r="B103" s="468">
        <f t="shared" si="103"/>
        <v>4</v>
      </c>
      <c r="C103" s="469" t="s">
        <v>769</v>
      </c>
      <c r="D103" s="524">
        <f t="shared" ca="1" si="102"/>
        <v>4.4726049269999998E-2</v>
      </c>
      <c r="E103" s="524">
        <f t="shared" ca="1" si="102"/>
        <v>-1.78227249E-2</v>
      </c>
      <c r="F103" s="524">
        <f t="shared" si="102"/>
        <v>0</v>
      </c>
      <c r="G103" s="524">
        <f t="shared" ca="1" si="102"/>
        <v>2.6903324369999995E-2</v>
      </c>
      <c r="H103" s="524">
        <f t="shared" ca="1" si="102"/>
        <v>2.6903324369999995E-2</v>
      </c>
      <c r="I103" s="524">
        <f t="shared" ca="1" si="102"/>
        <v>7.2849222999999286E-4</v>
      </c>
      <c r="J103" s="524">
        <f t="shared" si="102"/>
        <v>0</v>
      </c>
      <c r="K103" s="524">
        <f t="shared" ca="1" si="102"/>
        <v>2.7631816599999984E-2</v>
      </c>
      <c r="L103" s="524">
        <f t="shared" ca="1" si="102"/>
        <v>2.7631816599999984E-2</v>
      </c>
      <c r="M103" s="524">
        <f t="shared" ca="1" si="102"/>
        <v>-4.4999999999999997E-3</v>
      </c>
      <c r="N103" s="524">
        <f t="shared" si="102"/>
        <v>0</v>
      </c>
      <c r="O103" s="524">
        <f t="shared" ca="1" si="102"/>
        <v>2.313181659999998E-2</v>
      </c>
      <c r="P103" s="524">
        <f t="shared" ca="1" si="102"/>
        <v>2.313181659999998E-2</v>
      </c>
      <c r="Q103" s="524">
        <f t="shared" ca="1" si="102"/>
        <v>-4.4999999999999997E-3</v>
      </c>
      <c r="R103" s="524">
        <f t="shared" si="102"/>
        <v>0</v>
      </c>
      <c r="S103" s="524">
        <f t="shared" ca="1" si="102"/>
        <v>2.313181659999998E-2</v>
      </c>
    </row>
    <row r="104" spans="2:19" x14ac:dyDescent="0.25">
      <c r="B104" s="468">
        <f t="shared" si="103"/>
        <v>5</v>
      </c>
      <c r="C104" s="469" t="s">
        <v>770</v>
      </c>
      <c r="D104" s="524">
        <f t="shared" ca="1" si="102"/>
        <v>0.16279479181145001</v>
      </c>
      <c r="E104" s="524">
        <f t="shared" ca="1" si="102"/>
        <v>-2.0659204605299998E-2</v>
      </c>
      <c r="F104" s="524">
        <f t="shared" si="102"/>
        <v>0</v>
      </c>
      <c r="G104" s="524">
        <f t="shared" ca="1" si="102"/>
        <v>0.14213558720615002</v>
      </c>
      <c r="H104" s="524">
        <f t="shared" ca="1" si="102"/>
        <v>0.14213558720615002</v>
      </c>
      <c r="I104" s="524">
        <f t="shared" ca="1" si="102"/>
        <v>-2.0659204605299998E-2</v>
      </c>
      <c r="J104" s="524">
        <f t="shared" si="102"/>
        <v>0</v>
      </c>
      <c r="K104" s="524">
        <f t="shared" ca="1" si="102"/>
        <v>0.12147638260085003</v>
      </c>
      <c r="L104" s="524">
        <f t="shared" ca="1" si="102"/>
        <v>0.12147638260085003</v>
      </c>
      <c r="M104" s="524">
        <f t="shared" ca="1" si="102"/>
        <v>-2.0659204605299998E-2</v>
      </c>
      <c r="N104" s="524">
        <f t="shared" si="102"/>
        <v>0</v>
      </c>
      <c r="O104" s="524">
        <f t="shared" ca="1" si="102"/>
        <v>0.10081717799555004</v>
      </c>
      <c r="P104" s="524">
        <f t="shared" ca="1" si="102"/>
        <v>0.10081717799555004</v>
      </c>
      <c r="Q104" s="524">
        <f t="shared" ca="1" si="102"/>
        <v>-2.0659204605299998E-2</v>
      </c>
      <c r="R104" s="524">
        <f t="shared" si="102"/>
        <v>0</v>
      </c>
      <c r="S104" s="524">
        <f t="shared" ca="1" si="102"/>
        <v>0.10081717799555004</v>
      </c>
    </row>
    <row r="105" spans="2:19" x14ac:dyDescent="0.25">
      <c r="B105" s="468">
        <f t="shared" si="103"/>
        <v>6</v>
      </c>
      <c r="C105" s="469" t="s">
        <v>266</v>
      </c>
      <c r="D105" s="524">
        <f t="shared" ca="1" si="102"/>
        <v>2.7805870521243001</v>
      </c>
      <c r="E105" s="524">
        <f t="shared" ca="1" si="102"/>
        <v>-0.10452120025019999</v>
      </c>
      <c r="F105" s="524">
        <f t="shared" si="102"/>
        <v>0</v>
      </c>
      <c r="G105" s="524">
        <f t="shared" ca="1" si="102"/>
        <v>2.6760658518741001</v>
      </c>
      <c r="H105" s="524">
        <f t="shared" ca="1" si="102"/>
        <v>2.6760658518741001</v>
      </c>
      <c r="I105" s="524">
        <f t="shared" ca="1" si="102"/>
        <v>-0.10452120025019999</v>
      </c>
      <c r="J105" s="524">
        <f t="shared" si="102"/>
        <v>0</v>
      </c>
      <c r="K105" s="524">
        <f t="shared" ca="1" si="102"/>
        <v>2.5715446516239</v>
      </c>
      <c r="L105" s="524">
        <f t="shared" ca="1" si="102"/>
        <v>2.5715446516239</v>
      </c>
      <c r="M105" s="524">
        <f t="shared" ca="1" si="102"/>
        <v>-0.10452120025019999</v>
      </c>
      <c r="N105" s="524">
        <f t="shared" si="102"/>
        <v>0</v>
      </c>
      <c r="O105" s="524">
        <f t="shared" ca="1" si="102"/>
        <v>2.4670234513736999</v>
      </c>
      <c r="P105" s="524">
        <f t="shared" ca="1" si="102"/>
        <v>2.4670234513736999</v>
      </c>
      <c r="Q105" s="524">
        <f t="shared" ca="1" si="102"/>
        <v>-0.10452120025019999</v>
      </c>
      <c r="R105" s="524">
        <f t="shared" si="102"/>
        <v>0</v>
      </c>
      <c r="S105" s="524">
        <f t="shared" ca="1" si="102"/>
        <v>2.4670234513736999</v>
      </c>
    </row>
    <row r="106" spans="2:19" x14ac:dyDescent="0.25">
      <c r="B106" s="468"/>
      <c r="C106" s="469"/>
      <c r="D106" s="470"/>
      <c r="E106" s="470"/>
      <c r="F106" s="470"/>
      <c r="G106" s="470"/>
      <c r="H106" s="237"/>
      <c r="I106" s="471"/>
      <c r="J106" s="471"/>
      <c r="K106" s="237"/>
      <c r="L106" s="237"/>
      <c r="M106" s="471"/>
      <c r="N106" s="471"/>
      <c r="O106" s="237"/>
      <c r="P106" s="237"/>
      <c r="Q106" s="471"/>
      <c r="R106" s="471"/>
      <c r="S106" s="237"/>
    </row>
    <row r="107" spans="2:19" ht="16.8" x14ac:dyDescent="0.25">
      <c r="B107" s="472"/>
      <c r="C107" s="473" t="s">
        <v>180</v>
      </c>
      <c r="D107" s="525">
        <f ca="1">SUM(D100:D106)</f>
        <v>168.37292331694073</v>
      </c>
      <c r="E107" s="525">
        <f t="shared" ref="E107" ca="1" si="104">SUM(E100:E106)</f>
        <v>-7.7562045280796186</v>
      </c>
      <c r="F107" s="525">
        <f t="shared" ref="F107" si="105">SUM(F100:F106)</f>
        <v>0</v>
      </c>
      <c r="G107" s="525">
        <f t="shared" ref="G107" ca="1" si="106">SUM(G100:G106)</f>
        <v>160.61671878886114</v>
      </c>
      <c r="H107" s="525">
        <f t="shared" ref="H107" ca="1" si="107">SUM(H100:H106)</f>
        <v>160.61671878886114</v>
      </c>
      <c r="I107" s="525">
        <f t="shared" ref="I107" ca="1" si="108">SUM(I100:I106)</f>
        <v>-5.0331913109496185</v>
      </c>
      <c r="J107" s="525">
        <f t="shared" ref="J107" si="109">SUM(J100:J106)</f>
        <v>0</v>
      </c>
      <c r="K107" s="525">
        <f t="shared" ref="K107" ca="1" si="110">SUM(K100:K106)</f>
        <v>155.58352747791147</v>
      </c>
      <c r="L107" s="525">
        <f t="shared" ref="L107" ca="1" si="111">SUM(L100:L106)</f>
        <v>155.58352747791147</v>
      </c>
      <c r="M107" s="525">
        <f t="shared" ref="M107" ca="1" si="112">SUM(M100:M106)</f>
        <v>-7.1756801391796179</v>
      </c>
      <c r="N107" s="525">
        <f t="shared" ref="N107" si="113">SUM(N100:N106)</f>
        <v>0</v>
      </c>
      <c r="O107" s="525">
        <f t="shared" ref="O107" ca="1" si="114">SUM(O100:O106)</f>
        <v>148.40784733873184</v>
      </c>
      <c r="P107" s="525">
        <f t="shared" ref="P107" ca="1" si="115">SUM(P100:P106)</f>
        <v>148.40784733873184</v>
      </c>
      <c r="Q107" s="525">
        <f t="shared" ref="Q107" ca="1" si="116">SUM(Q100:Q106)</f>
        <v>-8.3333624751796194</v>
      </c>
      <c r="R107" s="525">
        <f t="shared" ref="R107" si="117">SUM(R100:R106)</f>
        <v>0</v>
      </c>
      <c r="S107" s="525">
        <f t="shared" ref="S107" ca="1" si="118">SUM(S100:S106)</f>
        <v>148.40784733873184</v>
      </c>
    </row>
  </sheetData>
  <mergeCells count="61">
    <mergeCell ref="P96:S96"/>
    <mergeCell ref="D97:G97"/>
    <mergeCell ref="H97:K97"/>
    <mergeCell ref="L97:O97"/>
    <mergeCell ref="P97:S97"/>
    <mergeCell ref="P80:S80"/>
    <mergeCell ref="D81:G81"/>
    <mergeCell ref="H81:K81"/>
    <mergeCell ref="L81:O81"/>
    <mergeCell ref="P81:S81"/>
    <mergeCell ref="B96:B98"/>
    <mergeCell ref="C96:C98"/>
    <mergeCell ref="D96:G96"/>
    <mergeCell ref="H96:K96"/>
    <mergeCell ref="L96:O96"/>
    <mergeCell ref="P63:S63"/>
    <mergeCell ref="D64:G64"/>
    <mergeCell ref="H64:K64"/>
    <mergeCell ref="L64:O64"/>
    <mergeCell ref="P64:S64"/>
    <mergeCell ref="B80:B82"/>
    <mergeCell ref="C80:C82"/>
    <mergeCell ref="D80:G80"/>
    <mergeCell ref="H80:K80"/>
    <mergeCell ref="L80:O80"/>
    <mergeCell ref="P46:S46"/>
    <mergeCell ref="D47:G47"/>
    <mergeCell ref="H47:K47"/>
    <mergeCell ref="L47:O47"/>
    <mergeCell ref="P47:S47"/>
    <mergeCell ref="B63:B65"/>
    <mergeCell ref="C63:C65"/>
    <mergeCell ref="D63:G63"/>
    <mergeCell ref="H63:K63"/>
    <mergeCell ref="L63:O63"/>
    <mergeCell ref="P28:S28"/>
    <mergeCell ref="D29:G29"/>
    <mergeCell ref="H29:K29"/>
    <mergeCell ref="L29:O29"/>
    <mergeCell ref="P29:S29"/>
    <mergeCell ref="L28:O28"/>
    <mergeCell ref="B46:B48"/>
    <mergeCell ref="C46:C48"/>
    <mergeCell ref="D46:G46"/>
    <mergeCell ref="H46:K46"/>
    <mergeCell ref="L46:O46"/>
    <mergeCell ref="B25:G25"/>
    <mergeCell ref="B28:B30"/>
    <mergeCell ref="C28:C30"/>
    <mergeCell ref="D28:G28"/>
    <mergeCell ref="H28:K28"/>
    <mergeCell ref="B12:B14"/>
    <mergeCell ref="C12:C14"/>
    <mergeCell ref="D12:G12"/>
    <mergeCell ref="H12:K12"/>
    <mergeCell ref="L12:O12"/>
    <mergeCell ref="P12:S12"/>
    <mergeCell ref="D13:G13"/>
    <mergeCell ref="H13:K13"/>
    <mergeCell ref="L13:O13"/>
    <mergeCell ref="P13:S13"/>
  </mergeCells>
  <pageMargins left="0.27559055118110237" right="0.23622047244094491" top="0.43307086614173229" bottom="0.23622047244094491" header="0.23622047244094491" footer="0.23622047244094491"/>
  <pageSetup paperSize="9" scale="55" fitToHeight="4" orientation="landscape" r:id="rId1"/>
  <headerFooter alignWithMargins="0"/>
  <rowBreaks count="1" manualBreakCount="1">
    <brk id="61" min="1" max="18"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38FF9-28C3-4BBD-BC45-179262C8FFAE}">
  <dimension ref="A1:AO107"/>
  <sheetViews>
    <sheetView showGridLines="0" view="pageBreakPreview" zoomScale="60" zoomScaleNormal="68" workbookViewId="0">
      <selection activeCell="U14" sqref="U14"/>
    </sheetView>
  </sheetViews>
  <sheetFormatPr defaultColWidth="9.33203125" defaultRowHeight="13.8" x14ac:dyDescent="0.25"/>
  <cols>
    <col min="1" max="1" width="4.33203125" style="231" customWidth="1"/>
    <col min="2" max="2" width="6.33203125" style="231" customWidth="1"/>
    <col min="3" max="3" width="23.109375" style="231" bestFit="1" customWidth="1"/>
    <col min="4" max="4" width="18.6640625" style="231" customWidth="1"/>
    <col min="5" max="5" width="13.6640625" style="231" customWidth="1"/>
    <col min="6" max="6" width="17.21875" style="231" customWidth="1"/>
    <col min="7" max="7" width="18.6640625" style="231" hidden="1" customWidth="1"/>
    <col min="8" max="9" width="18.6640625" style="231" customWidth="1"/>
    <col min="10" max="10" width="14.44140625" style="231" customWidth="1"/>
    <col min="11" max="11" width="17" style="231" customWidth="1"/>
    <col min="12" max="12" width="18.6640625" style="231" hidden="1" customWidth="1"/>
    <col min="13" max="13" width="18.6640625" style="231" customWidth="1"/>
    <col min="14" max="14" width="17.77734375" style="231" customWidth="1"/>
    <col min="15" max="15" width="15.6640625" style="231" customWidth="1"/>
    <col min="16" max="16" width="17.33203125" style="231" customWidth="1"/>
    <col min="17" max="17" width="18.6640625" style="231" hidden="1" customWidth="1"/>
    <col min="18" max="19" width="18.6640625" style="231" customWidth="1"/>
    <col min="20" max="20" width="12.88671875" style="231" customWidth="1"/>
    <col min="21" max="21" width="16.77734375" style="231" customWidth="1"/>
    <col min="22" max="22" width="18.6640625" style="231" hidden="1" customWidth="1"/>
    <col min="23" max="27" width="18.6640625" style="231" customWidth="1"/>
    <col min="28" max="28" width="16.6640625" style="231" customWidth="1"/>
    <col min="29" max="32" width="9.33203125" style="231"/>
    <col min="33" max="33" width="10.33203125" style="231" bestFit="1" customWidth="1"/>
    <col min="34" max="16384" width="9.33203125" style="231"/>
  </cols>
  <sheetData>
    <row r="1" spans="1:23" x14ac:dyDescent="0.25">
      <c r="B1" s="282"/>
    </row>
    <row r="2" spans="1:23" x14ac:dyDescent="0.25">
      <c r="B2" s="465"/>
      <c r="D2" s="466"/>
      <c r="E2" s="466"/>
      <c r="G2" s="233"/>
      <c r="H2" s="233" t="str">
        <f>Index!B2</f>
        <v>JAIGAD POWER TRANSCO LIMITED (JPTL)</v>
      </c>
      <c r="I2" s="466"/>
      <c r="J2" s="466"/>
      <c r="K2" s="466"/>
      <c r="L2" s="466"/>
      <c r="M2" s="466"/>
      <c r="N2" s="466"/>
      <c r="O2" s="466"/>
      <c r="P2" s="466"/>
      <c r="Q2" s="466"/>
      <c r="R2" s="466"/>
      <c r="S2" s="466"/>
      <c r="T2" s="466"/>
      <c r="U2" s="466"/>
      <c r="V2" s="466"/>
      <c r="W2" s="466"/>
    </row>
    <row r="3" spans="1:23" x14ac:dyDescent="0.25">
      <c r="B3" s="465"/>
      <c r="D3" s="283"/>
      <c r="E3" s="283"/>
      <c r="G3" s="233"/>
      <c r="H3" s="233" t="s">
        <v>399</v>
      </c>
      <c r="I3" s="283"/>
      <c r="J3" s="283"/>
      <c r="K3" s="283"/>
      <c r="L3" s="283"/>
      <c r="M3" s="283"/>
      <c r="N3" s="283"/>
      <c r="O3" s="283"/>
      <c r="P3" s="283"/>
      <c r="Q3" s="283"/>
      <c r="R3" s="283"/>
      <c r="S3" s="283"/>
      <c r="T3" s="466"/>
      <c r="U3" s="466"/>
      <c r="V3" s="466"/>
      <c r="W3" s="466"/>
    </row>
    <row r="4" spans="1:23" x14ac:dyDescent="0.25">
      <c r="B4" s="1102" t="s">
        <v>400</v>
      </c>
      <c r="C4" s="1102"/>
      <c r="D4" s="1102"/>
      <c r="E4" s="1102"/>
      <c r="F4" s="1102"/>
      <c r="G4" s="1102"/>
      <c r="H4" s="1102"/>
      <c r="I4" s="1102"/>
      <c r="J4" s="1102"/>
      <c r="K4" s="1102"/>
      <c r="L4" s="1102"/>
      <c r="M4" s="1102"/>
      <c r="N4" s="1102"/>
      <c r="O4" s="1102"/>
      <c r="P4" s="1102"/>
      <c r="Q4" s="1102"/>
      <c r="R4" s="1102"/>
      <c r="S4" s="1102"/>
      <c r="T4" s="1102"/>
      <c r="U4" s="1102"/>
      <c r="V4" s="1102"/>
      <c r="W4" s="1102"/>
    </row>
    <row r="5" spans="1:23" x14ac:dyDescent="0.25">
      <c r="C5" s="282"/>
      <c r="E5" s="457"/>
      <c r="I5" s="457"/>
    </row>
    <row r="6" spans="1:23" x14ac:dyDescent="0.25">
      <c r="C6" s="282"/>
      <c r="E6" s="457"/>
      <c r="H6" s="457"/>
      <c r="I6" s="457"/>
    </row>
    <row r="7" spans="1:23" x14ac:dyDescent="0.25">
      <c r="C7" s="282"/>
      <c r="E7" s="457"/>
      <c r="H7" s="457"/>
      <c r="I7" s="457"/>
    </row>
    <row r="8" spans="1:23" x14ac:dyDescent="0.25">
      <c r="C8" s="282"/>
      <c r="E8" s="457"/>
      <c r="H8" s="457"/>
      <c r="I8" s="457"/>
    </row>
    <row r="9" spans="1:23" x14ac:dyDescent="0.25">
      <c r="C9" s="282"/>
      <c r="E9" s="457"/>
      <c r="H9" s="457"/>
      <c r="I9" s="457"/>
    </row>
    <row r="10" spans="1:23" x14ac:dyDescent="0.25">
      <c r="A10" s="231" t="s">
        <v>358</v>
      </c>
      <c r="B10" s="282" t="s">
        <v>359</v>
      </c>
      <c r="C10" s="282"/>
      <c r="D10" s="282"/>
      <c r="E10" s="282"/>
      <c r="F10" s="282"/>
      <c r="G10" s="282"/>
      <c r="H10" s="282"/>
      <c r="J10" s="457"/>
      <c r="M10" s="457"/>
      <c r="N10" s="457"/>
      <c r="R10" s="1"/>
    </row>
    <row r="11" spans="1:23" x14ac:dyDescent="0.25">
      <c r="B11" s="467"/>
      <c r="C11" s="465"/>
      <c r="D11" s="556"/>
      <c r="E11" s="556"/>
      <c r="F11" s="556"/>
      <c r="G11" s="556"/>
      <c r="H11" s="556"/>
      <c r="I11" s="557"/>
      <c r="J11" s="558"/>
      <c r="K11" s="557"/>
      <c r="L11" s="557"/>
      <c r="M11" s="457"/>
      <c r="N11" s="457"/>
      <c r="R11" s="1"/>
      <c r="W11" s="234" t="s">
        <v>73</v>
      </c>
    </row>
    <row r="12" spans="1:23" ht="15.75" customHeight="1" x14ac:dyDescent="0.25">
      <c r="B12" s="1080" t="s">
        <v>1</v>
      </c>
      <c r="C12" s="1080" t="s">
        <v>74</v>
      </c>
      <c r="D12" s="1092" t="s">
        <v>75</v>
      </c>
      <c r="E12" s="1092"/>
      <c r="F12" s="1092"/>
      <c r="G12" s="1092"/>
      <c r="H12" s="1092"/>
      <c r="I12" s="1092" t="s">
        <v>76</v>
      </c>
      <c r="J12" s="1092"/>
      <c r="K12" s="1092"/>
      <c r="L12" s="1092"/>
      <c r="M12" s="1095"/>
      <c r="N12" s="1080" t="s">
        <v>77</v>
      </c>
      <c r="O12" s="1080"/>
      <c r="P12" s="1080"/>
      <c r="Q12" s="1080"/>
      <c r="R12" s="1080"/>
      <c r="S12" s="1080" t="s">
        <v>87</v>
      </c>
      <c r="T12" s="1080"/>
      <c r="U12" s="1080"/>
      <c r="V12" s="1080"/>
      <c r="W12" s="1080"/>
    </row>
    <row r="13" spans="1:23" ht="15.75" customHeight="1" x14ac:dyDescent="0.25">
      <c r="B13" s="1080"/>
      <c r="C13" s="1080"/>
      <c r="D13" s="1092" t="s">
        <v>134</v>
      </c>
      <c r="E13" s="1093"/>
      <c r="F13" s="1093"/>
      <c r="G13" s="1093"/>
      <c r="H13" s="1093"/>
      <c r="I13" s="1092" t="s">
        <v>134</v>
      </c>
      <c r="J13" s="1093"/>
      <c r="K13" s="1093"/>
      <c r="L13" s="1093"/>
      <c r="M13" s="1094"/>
      <c r="N13" s="1095" t="s">
        <v>135</v>
      </c>
      <c r="O13" s="1094"/>
      <c r="P13" s="1094"/>
      <c r="Q13" s="1094"/>
      <c r="R13" s="1094"/>
      <c r="S13" s="1095" t="s">
        <v>103</v>
      </c>
      <c r="T13" s="1094"/>
      <c r="U13" s="1094"/>
      <c r="V13" s="1094"/>
      <c r="W13" s="1094"/>
    </row>
    <row r="14" spans="1:23" ht="41.4" x14ac:dyDescent="0.25">
      <c r="B14" s="1080"/>
      <c r="C14" s="1080"/>
      <c r="D14" s="554" t="s">
        <v>360</v>
      </c>
      <c r="E14" s="554" t="s">
        <v>361</v>
      </c>
      <c r="F14" s="554" t="s">
        <v>362</v>
      </c>
      <c r="G14" s="554" t="s">
        <v>401</v>
      </c>
      <c r="H14" s="554" t="s">
        <v>363</v>
      </c>
      <c r="I14" s="554" t="s">
        <v>360</v>
      </c>
      <c r="J14" s="554" t="s">
        <v>361</v>
      </c>
      <c r="K14" s="554" t="s">
        <v>362</v>
      </c>
      <c r="L14" s="554" t="s">
        <v>401</v>
      </c>
      <c r="M14" s="424" t="s">
        <v>363</v>
      </c>
      <c r="N14" s="424" t="s">
        <v>360</v>
      </c>
      <c r="O14" s="424" t="s">
        <v>361</v>
      </c>
      <c r="P14" s="424" t="s">
        <v>362</v>
      </c>
      <c r="Q14" s="424" t="s">
        <v>401</v>
      </c>
      <c r="R14" s="424" t="s">
        <v>363</v>
      </c>
      <c r="S14" s="424" t="s">
        <v>360</v>
      </c>
      <c r="T14" s="424" t="s">
        <v>361</v>
      </c>
      <c r="U14" s="424" t="s">
        <v>362</v>
      </c>
      <c r="V14" s="424" t="s">
        <v>401</v>
      </c>
      <c r="W14" s="424" t="s">
        <v>363</v>
      </c>
    </row>
    <row r="15" spans="1:23" s="456" customFormat="1" ht="27.6" x14ac:dyDescent="0.25">
      <c r="B15" s="418"/>
      <c r="C15" s="418"/>
      <c r="D15" s="559" t="s">
        <v>92</v>
      </c>
      <c r="E15" s="559" t="s">
        <v>93</v>
      </c>
      <c r="F15" s="559" t="s">
        <v>191</v>
      </c>
      <c r="G15" s="559" t="s">
        <v>95</v>
      </c>
      <c r="H15" s="559" t="s">
        <v>402</v>
      </c>
      <c r="I15" s="559" t="s">
        <v>96</v>
      </c>
      <c r="J15" s="559" t="s">
        <v>365</v>
      </c>
      <c r="K15" s="559" t="s">
        <v>98</v>
      </c>
      <c r="L15" s="559" t="s">
        <v>99</v>
      </c>
      <c r="M15" s="494" t="s">
        <v>403</v>
      </c>
      <c r="N15" s="494" t="s">
        <v>367</v>
      </c>
      <c r="O15" s="494" t="s">
        <v>369</v>
      </c>
      <c r="P15" s="494" t="s">
        <v>370</v>
      </c>
      <c r="Q15" s="494" t="s">
        <v>371</v>
      </c>
      <c r="R15" s="494" t="s">
        <v>404</v>
      </c>
      <c r="S15" s="494" t="s">
        <v>374</v>
      </c>
      <c r="T15" s="494" t="s">
        <v>375</v>
      </c>
      <c r="U15" s="494" t="s">
        <v>376</v>
      </c>
      <c r="V15" s="494" t="s">
        <v>378</v>
      </c>
      <c r="W15" s="494" t="s">
        <v>405</v>
      </c>
    </row>
    <row r="16" spans="1:23" s="457" customFormat="1" x14ac:dyDescent="0.25">
      <c r="B16" s="468">
        <v>1</v>
      </c>
      <c r="C16" s="469" t="s">
        <v>732</v>
      </c>
      <c r="D16" s="524">
        <v>0</v>
      </c>
      <c r="E16" s="524">
        <v>0.69781309999999996</v>
      </c>
      <c r="F16" s="524">
        <v>0</v>
      </c>
      <c r="G16" s="478"/>
      <c r="H16" s="524">
        <f>+D16+E16-F16-G16</f>
        <v>0.69781309999999996</v>
      </c>
      <c r="I16" s="526">
        <f>+H16</f>
        <v>0.69781309999999996</v>
      </c>
      <c r="J16" s="524">
        <v>0</v>
      </c>
      <c r="K16" s="524">
        <v>0</v>
      </c>
      <c r="L16" s="478"/>
      <c r="M16" s="524">
        <f>+I16+J16-K16-L16</f>
        <v>0.69781309999999996</v>
      </c>
      <c r="N16" s="526">
        <f>+M16</f>
        <v>0.69781309999999996</v>
      </c>
      <c r="O16" s="237"/>
      <c r="P16" s="237"/>
      <c r="Q16" s="478"/>
      <c r="R16" s="524">
        <f>+N16+O16-P16-Q16</f>
        <v>0.69781309999999996</v>
      </c>
      <c r="S16" s="526">
        <f>+R16</f>
        <v>0.69781309999999996</v>
      </c>
      <c r="T16" s="237"/>
      <c r="U16" s="237"/>
      <c r="V16" s="478"/>
      <c r="W16" s="524">
        <f>+S16+T16-U16-V16</f>
        <v>0.69781309999999996</v>
      </c>
    </row>
    <row r="17" spans="2:23" s="457" customFormat="1" x14ac:dyDescent="0.25">
      <c r="B17" s="468">
        <f>+B16+1</f>
        <v>2</v>
      </c>
      <c r="C17" s="469" t="s">
        <v>265</v>
      </c>
      <c r="D17" s="524">
        <v>551.3982668000001</v>
      </c>
      <c r="E17" s="524">
        <v>1.0697393930000001</v>
      </c>
      <c r="F17" s="524">
        <v>0</v>
      </c>
      <c r="G17" s="478"/>
      <c r="H17" s="524">
        <f t="shared" ref="H17:H21" si="0">+D17+E17-F17-G17</f>
        <v>552.46800619300006</v>
      </c>
      <c r="I17" s="526">
        <f t="shared" ref="I17:I21" si="1">+H17</f>
        <v>552.46800619300006</v>
      </c>
      <c r="J17" s="524">
        <v>1.2281507000000001E-2</v>
      </c>
      <c r="K17" s="524">
        <v>0</v>
      </c>
      <c r="L17" s="478"/>
      <c r="M17" s="524">
        <f t="shared" ref="M17:M21" si="2">+I17+J17-K17-L17</f>
        <v>552.48028770000008</v>
      </c>
      <c r="N17" s="526">
        <f t="shared" ref="N17:N21" si="3">+M17</f>
        <v>552.48028770000008</v>
      </c>
      <c r="O17" s="266">
        <f>+'Capitalisation '!I5</f>
        <v>0.6</v>
      </c>
      <c r="P17" s="237"/>
      <c r="Q17" s="478"/>
      <c r="R17" s="524">
        <f t="shared" ref="R17:R21" si="4">+N17+O17-P17-Q17</f>
        <v>553.0802877000001</v>
      </c>
      <c r="S17" s="526">
        <f t="shared" ref="S17:S21" si="5">+R17</f>
        <v>553.0802877000001</v>
      </c>
      <c r="T17" s="237"/>
      <c r="U17" s="237"/>
      <c r="V17" s="478"/>
      <c r="W17" s="524">
        <f t="shared" ref="W17:W21" si="6">+S17+T17-U17-V17</f>
        <v>553.0802877000001</v>
      </c>
    </row>
    <row r="18" spans="2:23" s="457" customFormat="1" x14ac:dyDescent="0.25">
      <c r="B18" s="468">
        <f t="shared" ref="B18:B21" si="7">+B17+1</f>
        <v>3</v>
      </c>
      <c r="C18" s="238" t="s">
        <v>272</v>
      </c>
      <c r="D18" s="524">
        <v>0.16343830000000001</v>
      </c>
      <c r="E18" s="524">
        <v>5.6996949999999998E-2</v>
      </c>
      <c r="F18" s="524">
        <v>0</v>
      </c>
      <c r="G18" s="479"/>
      <c r="H18" s="524">
        <f t="shared" si="0"/>
        <v>0.22043525</v>
      </c>
      <c r="I18" s="526">
        <f t="shared" si="1"/>
        <v>0.22043525</v>
      </c>
      <c r="J18" s="524">
        <v>0.412794155</v>
      </c>
      <c r="K18" s="524">
        <v>-4.8152260000000006E-3</v>
      </c>
      <c r="L18" s="479"/>
      <c r="M18" s="524">
        <f t="shared" si="2"/>
        <v>0.63804463099999997</v>
      </c>
      <c r="N18" s="526">
        <f t="shared" si="3"/>
        <v>0.63804463099999997</v>
      </c>
      <c r="O18" s="237"/>
      <c r="P18" s="237"/>
      <c r="Q18" s="479"/>
      <c r="R18" s="524">
        <f t="shared" si="4"/>
        <v>0.63804463099999997</v>
      </c>
      <c r="S18" s="526">
        <f t="shared" si="5"/>
        <v>0.63804463099999997</v>
      </c>
      <c r="T18" s="237"/>
      <c r="U18" s="237"/>
      <c r="V18" s="479"/>
      <c r="W18" s="524">
        <f t="shared" si="6"/>
        <v>0.63804463099999997</v>
      </c>
    </row>
    <row r="19" spans="2:23" x14ac:dyDescent="0.25">
      <c r="B19" s="468">
        <f t="shared" si="7"/>
        <v>4</v>
      </c>
      <c r="C19" s="469" t="s">
        <v>769</v>
      </c>
      <c r="D19" s="524">
        <v>3.7559100000000005E-2</v>
      </c>
      <c r="E19" s="524">
        <v>8.1345660000000011E-3</v>
      </c>
      <c r="F19" s="524">
        <v>-5.8401E-3</v>
      </c>
      <c r="G19" s="478"/>
      <c r="H19" s="524">
        <f t="shared" si="0"/>
        <v>5.1533766000000009E-2</v>
      </c>
      <c r="I19" s="526">
        <f t="shared" si="1"/>
        <v>5.1533766000000009E-2</v>
      </c>
      <c r="J19" s="524">
        <v>3.1588600000000001E-2</v>
      </c>
      <c r="K19" s="524">
        <v>-5.6958E-3</v>
      </c>
      <c r="L19" s="478"/>
      <c r="M19" s="524">
        <f t="shared" si="2"/>
        <v>8.8818166000000004E-2</v>
      </c>
      <c r="N19" s="526">
        <f t="shared" si="3"/>
        <v>8.8818166000000004E-2</v>
      </c>
      <c r="O19" s="237"/>
      <c r="P19" s="237"/>
      <c r="Q19" s="478"/>
      <c r="R19" s="524">
        <f t="shared" si="4"/>
        <v>8.8818166000000004E-2</v>
      </c>
      <c r="S19" s="526">
        <f t="shared" si="5"/>
        <v>8.8818166000000004E-2</v>
      </c>
      <c r="T19" s="237"/>
      <c r="U19" s="237"/>
      <c r="V19" s="478"/>
      <c r="W19" s="524">
        <f t="shared" si="6"/>
        <v>8.8818166000000004E-2</v>
      </c>
    </row>
    <row r="20" spans="2:23" x14ac:dyDescent="0.25">
      <c r="B20" s="468">
        <f t="shared" si="7"/>
        <v>5</v>
      </c>
      <c r="C20" s="469" t="s">
        <v>770</v>
      </c>
      <c r="D20" s="524">
        <v>0.12839490000000001</v>
      </c>
      <c r="E20" s="524">
        <v>0.18204314099999999</v>
      </c>
      <c r="F20" s="524">
        <v>0</v>
      </c>
      <c r="G20" s="478"/>
      <c r="H20" s="524">
        <f t="shared" si="0"/>
        <v>0.310438041</v>
      </c>
      <c r="I20" s="526">
        <f t="shared" si="1"/>
        <v>0.310438041</v>
      </c>
      <c r="J20" s="524">
        <v>0</v>
      </c>
      <c r="K20" s="524">
        <v>-1.59317E-2</v>
      </c>
      <c r="L20" s="478"/>
      <c r="M20" s="524">
        <f t="shared" si="2"/>
        <v>0.32636974099999999</v>
      </c>
      <c r="N20" s="526">
        <f t="shared" si="3"/>
        <v>0.32636974099999999</v>
      </c>
      <c r="O20" s="237"/>
      <c r="P20" s="237"/>
      <c r="Q20" s="478"/>
      <c r="R20" s="524">
        <f t="shared" si="4"/>
        <v>0.32636974099999999</v>
      </c>
      <c r="S20" s="526">
        <f t="shared" si="5"/>
        <v>0.32636974099999999</v>
      </c>
      <c r="T20" s="237"/>
      <c r="U20" s="237"/>
      <c r="V20" s="478"/>
      <c r="W20" s="524">
        <f t="shared" si="6"/>
        <v>0.32636974099999999</v>
      </c>
    </row>
    <row r="21" spans="2:23" x14ac:dyDescent="0.25">
      <c r="B21" s="468">
        <f t="shared" si="7"/>
        <v>6</v>
      </c>
      <c r="C21" s="469" t="s">
        <v>266</v>
      </c>
      <c r="D21" s="524">
        <v>0</v>
      </c>
      <c r="E21" s="524">
        <v>2.959377253</v>
      </c>
      <c r="F21" s="524">
        <v>0</v>
      </c>
      <c r="G21" s="478"/>
      <c r="H21" s="524">
        <f t="shared" si="0"/>
        <v>2.959377253</v>
      </c>
      <c r="I21" s="526">
        <f t="shared" si="1"/>
        <v>2.959377253</v>
      </c>
      <c r="J21" s="524">
        <v>0</v>
      </c>
      <c r="K21" s="524">
        <v>0</v>
      </c>
      <c r="L21" s="478"/>
      <c r="M21" s="524">
        <f t="shared" si="2"/>
        <v>2.959377253</v>
      </c>
      <c r="N21" s="526">
        <f t="shared" si="3"/>
        <v>2.959377253</v>
      </c>
      <c r="O21" s="237"/>
      <c r="P21" s="237"/>
      <c r="Q21" s="478"/>
      <c r="R21" s="524">
        <f t="shared" si="4"/>
        <v>2.959377253</v>
      </c>
      <c r="S21" s="526">
        <f t="shared" si="5"/>
        <v>2.959377253</v>
      </c>
      <c r="T21" s="237"/>
      <c r="U21" s="237"/>
      <c r="V21" s="478"/>
      <c r="W21" s="524">
        <f t="shared" si="6"/>
        <v>2.959377253</v>
      </c>
    </row>
    <row r="22" spans="2:23" x14ac:dyDescent="0.25">
      <c r="B22" s="237"/>
      <c r="C22" s="470"/>
      <c r="D22" s="470"/>
      <c r="E22" s="470"/>
      <c r="F22" s="470"/>
      <c r="G22" s="480"/>
      <c r="H22" s="470"/>
      <c r="I22" s="237"/>
      <c r="J22" s="471"/>
      <c r="K22" s="471"/>
      <c r="L22" s="480"/>
      <c r="M22" s="237"/>
      <c r="N22" s="237"/>
      <c r="O22" s="471"/>
      <c r="P22" s="471"/>
      <c r="Q22" s="480"/>
      <c r="R22" s="237"/>
      <c r="S22" s="237"/>
      <c r="T22" s="471"/>
      <c r="U22" s="471"/>
      <c r="V22" s="480"/>
      <c r="W22" s="237"/>
    </row>
    <row r="23" spans="2:23" ht="16.8" x14ac:dyDescent="0.25">
      <c r="B23" s="472"/>
      <c r="C23" s="473" t="s">
        <v>180</v>
      </c>
      <c r="D23" s="525">
        <f>SUM(D16:D22)</f>
        <v>551.7276591000001</v>
      </c>
      <c r="E23" s="525">
        <f t="shared" ref="E23:W23" si="8">SUM(E16:E22)</f>
        <v>4.9741044030000001</v>
      </c>
      <c r="F23" s="525">
        <f t="shared" si="8"/>
        <v>-5.8401E-3</v>
      </c>
      <c r="G23" s="525">
        <f t="shared" si="8"/>
        <v>0</v>
      </c>
      <c r="H23" s="525">
        <f t="shared" si="8"/>
        <v>556.70760360300005</v>
      </c>
      <c r="I23" s="525">
        <f t="shared" si="8"/>
        <v>556.70760360300005</v>
      </c>
      <c r="J23" s="525">
        <f t="shared" si="8"/>
        <v>0.45666426200000004</v>
      </c>
      <c r="K23" s="525">
        <f t="shared" si="8"/>
        <v>-2.6442726E-2</v>
      </c>
      <c r="L23" s="525">
        <f t="shared" si="8"/>
        <v>0</v>
      </c>
      <c r="M23" s="525">
        <f t="shared" si="8"/>
        <v>557.19071059099997</v>
      </c>
      <c r="N23" s="525">
        <f t="shared" si="8"/>
        <v>557.19071059099997</v>
      </c>
      <c r="O23" s="525">
        <f t="shared" si="8"/>
        <v>0.6</v>
      </c>
      <c r="P23" s="525">
        <f t="shared" si="8"/>
        <v>0</v>
      </c>
      <c r="Q23" s="525">
        <f t="shared" si="8"/>
        <v>0</v>
      </c>
      <c r="R23" s="525">
        <f t="shared" si="8"/>
        <v>557.79071059099999</v>
      </c>
      <c r="S23" s="525">
        <f t="shared" si="8"/>
        <v>557.79071059099999</v>
      </c>
      <c r="T23" s="525">
        <f t="shared" si="8"/>
        <v>0</v>
      </c>
      <c r="U23" s="525">
        <f t="shared" si="8"/>
        <v>0</v>
      </c>
      <c r="V23" s="525">
        <f t="shared" si="8"/>
        <v>0</v>
      </c>
      <c r="W23" s="525">
        <f t="shared" si="8"/>
        <v>557.79071059099999</v>
      </c>
    </row>
    <row r="24" spans="2:23" x14ac:dyDescent="0.25">
      <c r="B24" s="282"/>
      <c r="C24" s="465"/>
      <c r="D24" s="465"/>
      <c r="E24" s="465"/>
      <c r="F24" s="465"/>
      <c r="G24" s="465"/>
      <c r="H24" s="465"/>
      <c r="J24" s="457"/>
      <c r="M24" s="457"/>
      <c r="N24" s="457"/>
    </row>
    <row r="25" spans="2:23" x14ac:dyDescent="0.25">
      <c r="B25" s="454" t="s">
        <v>373</v>
      </c>
      <c r="C25" s="481"/>
      <c r="D25" s="481"/>
      <c r="E25" s="481"/>
      <c r="F25" s="481"/>
      <c r="G25" s="465"/>
      <c r="H25" s="465"/>
      <c r="J25" s="457"/>
      <c r="M25" s="457"/>
      <c r="N25" s="457"/>
    </row>
    <row r="26" spans="2:23" x14ac:dyDescent="0.25">
      <c r="B26" s="282"/>
      <c r="C26" s="465"/>
      <c r="D26" s="465"/>
      <c r="E26" s="465"/>
      <c r="F26" s="465"/>
      <c r="G26" s="465"/>
      <c r="H26" s="465"/>
      <c r="J26" s="457"/>
      <c r="M26" s="457"/>
      <c r="N26" s="457"/>
    </row>
    <row r="27" spans="2:23" x14ac:dyDescent="0.25">
      <c r="B27" s="282"/>
      <c r="C27" s="465"/>
      <c r="D27" s="465"/>
      <c r="E27" s="465"/>
      <c r="F27" s="465"/>
      <c r="G27" s="465"/>
      <c r="H27" s="465"/>
      <c r="J27" s="457"/>
      <c r="M27" s="457"/>
      <c r="N27" s="457"/>
      <c r="W27" s="234" t="s">
        <v>73</v>
      </c>
    </row>
    <row r="28" spans="2:23" ht="15.75" customHeight="1" x14ac:dyDescent="0.25">
      <c r="B28" s="1080" t="s">
        <v>1</v>
      </c>
      <c r="C28" s="1080" t="s">
        <v>74</v>
      </c>
      <c r="D28" s="1080" t="s">
        <v>88</v>
      </c>
      <c r="E28" s="1080"/>
      <c r="F28" s="1080"/>
      <c r="G28" s="1080"/>
      <c r="H28" s="1080"/>
      <c r="I28" s="1080" t="s">
        <v>89</v>
      </c>
      <c r="J28" s="1080"/>
      <c r="K28" s="1080"/>
      <c r="L28" s="1080"/>
      <c r="M28" s="1080"/>
      <c r="N28" s="1080" t="s">
        <v>90</v>
      </c>
      <c r="O28" s="1080"/>
      <c r="P28" s="1080"/>
      <c r="Q28" s="1080"/>
      <c r="R28" s="1080"/>
      <c r="S28" s="1080" t="s">
        <v>91</v>
      </c>
      <c r="T28" s="1080"/>
      <c r="U28" s="1080"/>
      <c r="V28" s="1080"/>
      <c r="W28" s="1080"/>
    </row>
    <row r="29" spans="2:23" ht="15.75" customHeight="1" x14ac:dyDescent="0.25">
      <c r="B29" s="1080"/>
      <c r="C29" s="1080"/>
      <c r="D29" s="1095" t="s">
        <v>103</v>
      </c>
      <c r="E29" s="1100"/>
      <c r="F29" s="1100"/>
      <c r="G29" s="1100"/>
      <c r="H29" s="1100"/>
      <c r="I29" s="1095" t="s">
        <v>103</v>
      </c>
      <c r="J29" s="1100"/>
      <c r="K29" s="1100"/>
      <c r="L29" s="1100"/>
      <c r="M29" s="1100"/>
      <c r="N29" s="1095" t="s">
        <v>103</v>
      </c>
      <c r="O29" s="1100"/>
      <c r="P29" s="1100"/>
      <c r="Q29" s="1100"/>
      <c r="R29" s="1100"/>
      <c r="S29" s="1095" t="s">
        <v>103</v>
      </c>
      <c r="T29" s="1100"/>
      <c r="U29" s="1100"/>
      <c r="V29" s="1100"/>
      <c r="W29" s="1100"/>
    </row>
    <row r="30" spans="2:23" ht="41.4" x14ac:dyDescent="0.25">
      <c r="B30" s="1080"/>
      <c r="C30" s="1080"/>
      <c r="D30" s="424" t="s">
        <v>360</v>
      </c>
      <c r="E30" s="424" t="s">
        <v>361</v>
      </c>
      <c r="F30" s="424" t="s">
        <v>362</v>
      </c>
      <c r="G30" s="424" t="s">
        <v>401</v>
      </c>
      <c r="H30" s="424" t="s">
        <v>363</v>
      </c>
      <c r="I30" s="424" t="s">
        <v>360</v>
      </c>
      <c r="J30" s="424" t="s">
        <v>361</v>
      </c>
      <c r="K30" s="424" t="s">
        <v>362</v>
      </c>
      <c r="L30" s="424" t="s">
        <v>401</v>
      </c>
      <c r="M30" s="424" t="s">
        <v>363</v>
      </c>
      <c r="N30" s="424" t="s">
        <v>360</v>
      </c>
      <c r="O30" s="424" t="s">
        <v>361</v>
      </c>
      <c r="P30" s="424" t="s">
        <v>362</v>
      </c>
      <c r="Q30" s="424" t="s">
        <v>401</v>
      </c>
      <c r="R30" s="424" t="s">
        <v>363</v>
      </c>
      <c r="S30" s="424" t="s">
        <v>360</v>
      </c>
      <c r="T30" s="424" t="s">
        <v>361</v>
      </c>
      <c r="U30" s="424" t="s">
        <v>362</v>
      </c>
      <c r="V30" s="424" t="s">
        <v>401</v>
      </c>
      <c r="W30" s="424" t="s">
        <v>363</v>
      </c>
    </row>
    <row r="31" spans="2:23" s="456" customFormat="1" ht="27.6" x14ac:dyDescent="0.25">
      <c r="B31" s="418"/>
      <c r="C31" s="418"/>
      <c r="D31" s="494" t="s">
        <v>379</v>
      </c>
      <c r="E31" s="494" t="s">
        <v>380</v>
      </c>
      <c r="F31" s="494" t="s">
        <v>382</v>
      </c>
      <c r="G31" s="494" t="s">
        <v>383</v>
      </c>
      <c r="H31" s="494" t="s">
        <v>406</v>
      </c>
      <c r="I31" s="494" t="s">
        <v>384</v>
      </c>
      <c r="J31" s="494" t="s">
        <v>386</v>
      </c>
      <c r="K31" s="494" t="s">
        <v>387</v>
      </c>
      <c r="L31" s="494" t="s">
        <v>388</v>
      </c>
      <c r="M31" s="494" t="s">
        <v>407</v>
      </c>
      <c r="N31" s="494" t="s">
        <v>408</v>
      </c>
      <c r="O31" s="494" t="s">
        <v>409</v>
      </c>
      <c r="P31" s="494" t="s">
        <v>410</v>
      </c>
      <c r="Q31" s="494" t="s">
        <v>411</v>
      </c>
      <c r="R31" s="494" t="s">
        <v>412</v>
      </c>
      <c r="S31" s="494" t="s">
        <v>413</v>
      </c>
      <c r="T31" s="494" t="s">
        <v>414</v>
      </c>
      <c r="U31" s="494" t="s">
        <v>415</v>
      </c>
      <c r="V31" s="494" t="s">
        <v>416</v>
      </c>
      <c r="W31" s="494" t="s">
        <v>417</v>
      </c>
    </row>
    <row r="32" spans="2:23" s="457" customFormat="1" x14ac:dyDescent="0.25">
      <c r="B32" s="468">
        <v>1</v>
      </c>
      <c r="C32" s="469" t="s">
        <v>732</v>
      </c>
      <c r="D32" s="524">
        <f>+W16</f>
        <v>0.69781309999999996</v>
      </c>
      <c r="E32" s="469"/>
      <c r="F32" s="469"/>
      <c r="G32" s="478"/>
      <c r="H32" s="524">
        <f>+D32+E32-F32-G32</f>
        <v>0.69781309999999996</v>
      </c>
      <c r="I32" s="526">
        <f>+H32</f>
        <v>0.69781309999999996</v>
      </c>
      <c r="J32" s="237"/>
      <c r="K32" s="237"/>
      <c r="L32" s="478"/>
      <c r="M32" s="524">
        <f>+I32+J32-K32-L32</f>
        <v>0.69781309999999996</v>
      </c>
      <c r="N32" s="526">
        <f>+M32</f>
        <v>0.69781309999999996</v>
      </c>
      <c r="O32" s="237"/>
      <c r="P32" s="237"/>
      <c r="Q32" s="478"/>
      <c r="R32" s="524">
        <f>+N32+O32-P32-Q32</f>
        <v>0.69781309999999996</v>
      </c>
      <c r="S32" s="526">
        <f>+R32</f>
        <v>0.69781309999999996</v>
      </c>
      <c r="T32" s="237"/>
      <c r="U32" s="237"/>
      <c r="V32" s="478"/>
      <c r="W32" s="524">
        <f>+S32+T32-U32-V32</f>
        <v>0.69781309999999996</v>
      </c>
    </row>
    <row r="33" spans="2:41" s="457" customFormat="1" x14ac:dyDescent="0.25">
      <c r="B33" s="468">
        <f>+B32+1</f>
        <v>2</v>
      </c>
      <c r="C33" s="469" t="s">
        <v>265</v>
      </c>
      <c r="D33" s="524">
        <f t="shared" ref="D33:D37" si="9">+W17</f>
        <v>553.0802877000001</v>
      </c>
      <c r="E33" s="469"/>
      <c r="F33" s="469"/>
      <c r="G33" s="478"/>
      <c r="H33" s="524">
        <f t="shared" ref="H33:H37" si="10">+D33+E33-F33-G33</f>
        <v>553.0802877000001</v>
      </c>
      <c r="I33" s="526">
        <f t="shared" ref="I33:I37" si="11">+H33</f>
        <v>553.0802877000001</v>
      </c>
      <c r="J33" s="237"/>
      <c r="K33" s="237"/>
      <c r="L33" s="478"/>
      <c r="M33" s="524">
        <f t="shared" ref="M33:M37" si="12">+I33+J33-K33-L33</f>
        <v>553.0802877000001</v>
      </c>
      <c r="N33" s="526">
        <f t="shared" ref="N33:N37" si="13">+M33</f>
        <v>553.0802877000001</v>
      </c>
      <c r="O33" s="237"/>
      <c r="P33" s="237"/>
      <c r="Q33" s="478"/>
      <c r="R33" s="524">
        <f t="shared" ref="R33:R37" si="14">+N33+O33-P33-Q33</f>
        <v>553.0802877000001</v>
      </c>
      <c r="S33" s="526">
        <f t="shared" ref="S33:S37" si="15">+R33</f>
        <v>553.0802877000001</v>
      </c>
      <c r="T33" s="237"/>
      <c r="U33" s="237"/>
      <c r="V33" s="478"/>
      <c r="W33" s="524">
        <f t="shared" ref="W33:W37" si="16">+S33+T33-U33-V33</f>
        <v>553.0802877000001</v>
      </c>
    </row>
    <row r="34" spans="2:41" s="457" customFormat="1" x14ac:dyDescent="0.25">
      <c r="B34" s="468">
        <f t="shared" ref="B34:B37" si="17">+B33+1</f>
        <v>3</v>
      </c>
      <c r="C34" s="238" t="s">
        <v>272</v>
      </c>
      <c r="D34" s="524">
        <f t="shared" si="9"/>
        <v>0.63804463099999997</v>
      </c>
      <c r="E34" s="238"/>
      <c r="F34" s="238"/>
      <c r="G34" s="479"/>
      <c r="H34" s="524">
        <f t="shared" si="10"/>
        <v>0.63804463099999997</v>
      </c>
      <c r="I34" s="526">
        <f t="shared" si="11"/>
        <v>0.63804463099999997</v>
      </c>
      <c r="J34" s="237"/>
      <c r="K34" s="237"/>
      <c r="L34" s="479"/>
      <c r="M34" s="524">
        <f t="shared" si="12"/>
        <v>0.63804463099999997</v>
      </c>
      <c r="N34" s="526">
        <f t="shared" si="13"/>
        <v>0.63804463099999997</v>
      </c>
      <c r="O34" s="237"/>
      <c r="P34" s="237"/>
      <c r="Q34" s="479"/>
      <c r="R34" s="524">
        <f t="shared" si="14"/>
        <v>0.63804463099999997</v>
      </c>
      <c r="S34" s="526">
        <f t="shared" si="15"/>
        <v>0.63804463099999997</v>
      </c>
      <c r="T34" s="237"/>
      <c r="U34" s="237"/>
      <c r="V34" s="479"/>
      <c r="W34" s="524">
        <f t="shared" si="16"/>
        <v>0.63804463099999997</v>
      </c>
    </row>
    <row r="35" spans="2:41" x14ac:dyDescent="0.25">
      <c r="B35" s="468">
        <f t="shared" si="17"/>
        <v>4</v>
      </c>
      <c r="C35" s="469" t="s">
        <v>769</v>
      </c>
      <c r="D35" s="524">
        <f t="shared" si="9"/>
        <v>8.8818166000000004E-2</v>
      </c>
      <c r="E35" s="469"/>
      <c r="F35" s="469"/>
      <c r="G35" s="478"/>
      <c r="H35" s="524">
        <f t="shared" si="10"/>
        <v>8.8818166000000004E-2</v>
      </c>
      <c r="I35" s="526">
        <f t="shared" si="11"/>
        <v>8.8818166000000004E-2</v>
      </c>
      <c r="J35" s="237"/>
      <c r="K35" s="237"/>
      <c r="L35" s="478"/>
      <c r="M35" s="524">
        <f t="shared" si="12"/>
        <v>8.8818166000000004E-2</v>
      </c>
      <c r="N35" s="526">
        <f t="shared" si="13"/>
        <v>8.8818166000000004E-2</v>
      </c>
      <c r="O35" s="237"/>
      <c r="P35" s="237"/>
      <c r="Q35" s="478"/>
      <c r="R35" s="524">
        <f t="shared" si="14"/>
        <v>8.8818166000000004E-2</v>
      </c>
      <c r="S35" s="526">
        <f t="shared" si="15"/>
        <v>8.8818166000000004E-2</v>
      </c>
      <c r="T35" s="237"/>
      <c r="U35" s="237"/>
      <c r="V35" s="478"/>
      <c r="W35" s="524">
        <f t="shared" si="16"/>
        <v>8.8818166000000004E-2</v>
      </c>
    </row>
    <row r="36" spans="2:41" x14ac:dyDescent="0.25">
      <c r="B36" s="468">
        <f t="shared" si="17"/>
        <v>5</v>
      </c>
      <c r="C36" s="469" t="s">
        <v>770</v>
      </c>
      <c r="D36" s="524">
        <f t="shared" si="9"/>
        <v>0.32636974099999999</v>
      </c>
      <c r="E36" s="469"/>
      <c r="F36" s="469"/>
      <c r="G36" s="478"/>
      <c r="H36" s="524">
        <f t="shared" si="10"/>
        <v>0.32636974099999999</v>
      </c>
      <c r="I36" s="526">
        <f t="shared" si="11"/>
        <v>0.32636974099999999</v>
      </c>
      <c r="J36" s="237"/>
      <c r="K36" s="237"/>
      <c r="L36" s="478"/>
      <c r="M36" s="524">
        <f t="shared" si="12"/>
        <v>0.32636974099999999</v>
      </c>
      <c r="N36" s="526">
        <f t="shared" si="13"/>
        <v>0.32636974099999999</v>
      </c>
      <c r="O36" s="237"/>
      <c r="P36" s="237"/>
      <c r="Q36" s="478"/>
      <c r="R36" s="524">
        <f t="shared" si="14"/>
        <v>0.32636974099999999</v>
      </c>
      <c r="S36" s="526">
        <f t="shared" si="15"/>
        <v>0.32636974099999999</v>
      </c>
      <c r="T36" s="237"/>
      <c r="U36" s="237"/>
      <c r="V36" s="478"/>
      <c r="W36" s="524">
        <f t="shared" si="16"/>
        <v>0.32636974099999999</v>
      </c>
    </row>
    <row r="37" spans="2:41" x14ac:dyDescent="0.25">
      <c r="B37" s="468">
        <f t="shared" si="17"/>
        <v>6</v>
      </c>
      <c r="C37" s="469" t="s">
        <v>266</v>
      </c>
      <c r="D37" s="524">
        <f t="shared" si="9"/>
        <v>2.959377253</v>
      </c>
      <c r="E37" s="469"/>
      <c r="F37" s="469"/>
      <c r="G37" s="478"/>
      <c r="H37" s="524">
        <f t="shared" si="10"/>
        <v>2.959377253</v>
      </c>
      <c r="I37" s="526">
        <f t="shared" si="11"/>
        <v>2.959377253</v>
      </c>
      <c r="J37" s="237"/>
      <c r="K37" s="237"/>
      <c r="L37" s="478"/>
      <c r="M37" s="524">
        <f t="shared" si="12"/>
        <v>2.959377253</v>
      </c>
      <c r="N37" s="526">
        <f t="shared" si="13"/>
        <v>2.959377253</v>
      </c>
      <c r="O37" s="237"/>
      <c r="P37" s="237"/>
      <c r="Q37" s="478"/>
      <c r="R37" s="524">
        <f t="shared" si="14"/>
        <v>2.959377253</v>
      </c>
      <c r="S37" s="526">
        <f t="shared" si="15"/>
        <v>2.959377253</v>
      </c>
      <c r="T37" s="237"/>
      <c r="U37" s="237"/>
      <c r="V37" s="478"/>
      <c r="W37" s="524">
        <f t="shared" si="16"/>
        <v>2.959377253</v>
      </c>
    </row>
    <row r="38" spans="2:41" x14ac:dyDescent="0.25">
      <c r="B38" s="237"/>
      <c r="C38" s="470"/>
      <c r="D38" s="470"/>
      <c r="E38" s="470"/>
      <c r="F38" s="470"/>
      <c r="G38" s="480"/>
      <c r="H38" s="470"/>
      <c r="I38" s="237"/>
      <c r="J38" s="471"/>
      <c r="K38" s="471"/>
      <c r="L38" s="480"/>
      <c r="M38" s="237"/>
      <c r="N38" s="237"/>
      <c r="O38" s="471"/>
      <c r="P38" s="471"/>
      <c r="Q38" s="480"/>
      <c r="R38" s="237"/>
      <c r="S38" s="237"/>
      <c r="T38" s="471"/>
      <c r="U38" s="471"/>
      <c r="V38" s="480"/>
      <c r="W38" s="237"/>
    </row>
    <row r="39" spans="2:41" ht="16.8" x14ac:dyDescent="0.25">
      <c r="B39" s="472"/>
      <c r="C39" s="473" t="s">
        <v>180</v>
      </c>
      <c r="D39" s="525">
        <f>SUM(D32:D38)</f>
        <v>557.79071059099999</v>
      </c>
      <c r="E39" s="525">
        <f t="shared" ref="E39:W39" si="18">SUM(E32:E38)</f>
        <v>0</v>
      </c>
      <c r="F39" s="525">
        <f t="shared" si="18"/>
        <v>0</v>
      </c>
      <c r="G39" s="525">
        <f t="shared" si="18"/>
        <v>0</v>
      </c>
      <c r="H39" s="525">
        <f t="shared" si="18"/>
        <v>557.79071059099999</v>
      </c>
      <c r="I39" s="525">
        <f t="shared" si="18"/>
        <v>557.79071059099999</v>
      </c>
      <c r="J39" s="525">
        <f t="shared" si="18"/>
        <v>0</v>
      </c>
      <c r="K39" s="525">
        <f t="shared" si="18"/>
        <v>0</v>
      </c>
      <c r="L39" s="525">
        <f t="shared" si="18"/>
        <v>0</v>
      </c>
      <c r="M39" s="525">
        <f t="shared" si="18"/>
        <v>557.79071059099999</v>
      </c>
      <c r="N39" s="525">
        <f t="shared" si="18"/>
        <v>557.79071059099999</v>
      </c>
      <c r="O39" s="525">
        <f t="shared" si="18"/>
        <v>0</v>
      </c>
      <c r="P39" s="525">
        <f t="shared" si="18"/>
        <v>0</v>
      </c>
      <c r="Q39" s="525">
        <f t="shared" si="18"/>
        <v>0</v>
      </c>
      <c r="R39" s="525">
        <f t="shared" si="18"/>
        <v>557.79071059099999</v>
      </c>
      <c r="S39" s="525">
        <f t="shared" si="18"/>
        <v>557.79071059099999</v>
      </c>
      <c r="T39" s="525">
        <f t="shared" si="18"/>
        <v>0</v>
      </c>
      <c r="U39" s="525">
        <f t="shared" si="18"/>
        <v>0</v>
      </c>
      <c r="V39" s="525">
        <f t="shared" si="18"/>
        <v>0</v>
      </c>
      <c r="W39" s="525">
        <f t="shared" si="18"/>
        <v>557.79071059099999</v>
      </c>
    </row>
    <row r="40" spans="2:41" ht="16.8" x14ac:dyDescent="0.25">
      <c r="B40" s="474"/>
      <c r="C40" s="474"/>
      <c r="D40" s="474"/>
      <c r="E40" s="474"/>
      <c r="F40" s="474"/>
      <c r="G40" s="474"/>
      <c r="H40" s="474"/>
      <c r="I40" s="474"/>
      <c r="J40" s="474"/>
      <c r="K40" s="474"/>
      <c r="L40" s="474"/>
      <c r="M40" s="474"/>
      <c r="N40" s="474"/>
      <c r="O40" s="474"/>
      <c r="X40" s="474"/>
      <c r="Y40" s="474"/>
      <c r="Z40" s="474"/>
    </row>
    <row r="41" spans="2:41" ht="16.8" x14ac:dyDescent="0.25">
      <c r="B41" s="474"/>
      <c r="C41" s="474"/>
      <c r="D41" s="474"/>
      <c r="E41" s="474"/>
      <c r="F41" s="474"/>
      <c r="G41" s="474"/>
      <c r="H41" s="474"/>
      <c r="I41" s="474"/>
      <c r="J41" s="474"/>
      <c r="K41" s="474"/>
      <c r="L41" s="474"/>
      <c r="M41" s="474"/>
      <c r="N41" s="474"/>
      <c r="O41" s="474"/>
    </row>
    <row r="42" spans="2:41" ht="16.8" x14ac:dyDescent="0.25">
      <c r="X42" s="474"/>
      <c r="Y42" s="474"/>
      <c r="Z42" s="474"/>
    </row>
    <row r="43" spans="2:41" x14ac:dyDescent="0.25">
      <c r="B43" s="282" t="s">
        <v>390</v>
      </c>
    </row>
    <row r="44" spans="2:41" x14ac:dyDescent="0.25">
      <c r="B44" s="282"/>
    </row>
    <row r="45" spans="2:41" x14ac:dyDescent="0.25">
      <c r="J45" s="457"/>
      <c r="M45" s="457"/>
      <c r="N45" s="457"/>
      <c r="R45" s="234" t="s">
        <v>73</v>
      </c>
    </row>
    <row r="46" spans="2:41" ht="15" customHeight="1" x14ac:dyDescent="0.25">
      <c r="B46" s="1080" t="s">
        <v>1</v>
      </c>
      <c r="C46" s="1080" t="s">
        <v>74</v>
      </c>
      <c r="D46" s="1095" t="s">
        <v>75</v>
      </c>
      <c r="E46" s="1095"/>
      <c r="F46" s="1095"/>
      <c r="G46" s="1095"/>
      <c r="H46" s="1095"/>
      <c r="I46" s="1095" t="s">
        <v>76</v>
      </c>
      <c r="J46" s="1095"/>
      <c r="K46" s="1095"/>
      <c r="L46" s="1095"/>
      <c r="M46" s="1095"/>
      <c r="N46" s="1080" t="s">
        <v>77</v>
      </c>
      <c r="O46" s="1080"/>
      <c r="P46" s="1080"/>
      <c r="Q46" s="1080"/>
      <c r="R46" s="1080"/>
      <c r="S46" s="1080" t="s">
        <v>87</v>
      </c>
      <c r="T46" s="1080"/>
      <c r="U46" s="1080"/>
      <c r="V46" s="1080"/>
      <c r="W46" s="1080"/>
    </row>
    <row r="47" spans="2:41" x14ac:dyDescent="0.25">
      <c r="B47" s="1080"/>
      <c r="C47" s="1080"/>
      <c r="D47" s="1095" t="s">
        <v>134</v>
      </c>
      <c r="E47" s="1094"/>
      <c r="F47" s="1094"/>
      <c r="G47" s="1094"/>
      <c r="H47" s="1094"/>
      <c r="I47" s="1095" t="s">
        <v>134</v>
      </c>
      <c r="J47" s="1094"/>
      <c r="K47" s="1094"/>
      <c r="L47" s="1094"/>
      <c r="M47" s="1094"/>
      <c r="N47" s="1095" t="s">
        <v>135</v>
      </c>
      <c r="O47" s="1094"/>
      <c r="P47" s="1094"/>
      <c r="Q47" s="1094"/>
      <c r="R47" s="1094"/>
      <c r="S47" s="1095" t="s">
        <v>103</v>
      </c>
      <c r="T47" s="1094"/>
      <c r="U47" s="1094"/>
      <c r="V47" s="1094"/>
      <c r="W47" s="1094"/>
    </row>
    <row r="48" spans="2:41" ht="55.2" x14ac:dyDescent="0.25">
      <c r="B48" s="1080"/>
      <c r="C48" s="1080"/>
      <c r="D48" s="424" t="s">
        <v>392</v>
      </c>
      <c r="E48" s="424" t="s">
        <v>361</v>
      </c>
      <c r="F48" s="426" t="s">
        <v>393</v>
      </c>
      <c r="G48" s="424" t="s">
        <v>401</v>
      </c>
      <c r="H48" s="424" t="s">
        <v>394</v>
      </c>
      <c r="I48" s="424" t="s">
        <v>392</v>
      </c>
      <c r="J48" s="424" t="s">
        <v>361</v>
      </c>
      <c r="K48" s="426" t="s">
        <v>393</v>
      </c>
      <c r="L48" s="424" t="s">
        <v>401</v>
      </c>
      <c r="M48" s="424" t="s">
        <v>394</v>
      </c>
      <c r="N48" s="424" t="s">
        <v>392</v>
      </c>
      <c r="O48" s="424" t="s">
        <v>361</v>
      </c>
      <c r="P48" s="426" t="s">
        <v>393</v>
      </c>
      <c r="Q48" s="424" t="s">
        <v>401</v>
      </c>
      <c r="R48" s="424" t="s">
        <v>394</v>
      </c>
      <c r="S48" s="424" t="s">
        <v>392</v>
      </c>
      <c r="T48" s="424" t="s">
        <v>361</v>
      </c>
      <c r="U48" s="426" t="s">
        <v>393</v>
      </c>
      <c r="V48" s="424" t="s">
        <v>401</v>
      </c>
      <c r="W48" s="424" t="s">
        <v>394</v>
      </c>
      <c r="Y48" s="418" t="s">
        <v>772</v>
      </c>
      <c r="Z48" s="418" t="s">
        <v>773</v>
      </c>
      <c r="AA48" s="418" t="s">
        <v>774</v>
      </c>
      <c r="AB48" s="418" t="s">
        <v>775</v>
      </c>
      <c r="AC48" s="1"/>
      <c r="AD48" s="713" t="s">
        <v>178</v>
      </c>
      <c r="AE48" s="713" t="s">
        <v>179</v>
      </c>
      <c r="AF48" s="713" t="s">
        <v>180</v>
      </c>
      <c r="AG48" s="1"/>
      <c r="AH48" s="714" t="s">
        <v>75</v>
      </c>
      <c r="AI48" s="714" t="s">
        <v>76</v>
      </c>
      <c r="AJ48" s="714" t="s">
        <v>77</v>
      </c>
      <c r="AK48" s="714" t="s">
        <v>87</v>
      </c>
      <c r="AL48" s="714" t="s">
        <v>88</v>
      </c>
      <c r="AM48" s="714" t="s">
        <v>89</v>
      </c>
      <c r="AN48" s="714" t="s">
        <v>90</v>
      </c>
      <c r="AO48" s="714" t="s">
        <v>91</v>
      </c>
    </row>
    <row r="49" spans="2:41" ht="27.6" x14ac:dyDescent="0.25">
      <c r="B49" s="418"/>
      <c r="C49" s="418"/>
      <c r="D49" s="494" t="s">
        <v>92</v>
      </c>
      <c r="E49" s="494" t="s">
        <v>93</v>
      </c>
      <c r="F49" s="494" t="s">
        <v>191</v>
      </c>
      <c r="G49" s="494" t="s">
        <v>95</v>
      </c>
      <c r="H49" s="494" t="s">
        <v>402</v>
      </c>
      <c r="I49" s="494" t="s">
        <v>96</v>
      </c>
      <c r="J49" s="494" t="s">
        <v>365</v>
      </c>
      <c r="K49" s="494" t="s">
        <v>98</v>
      </c>
      <c r="L49" s="494" t="s">
        <v>99</v>
      </c>
      <c r="M49" s="494" t="s">
        <v>403</v>
      </c>
      <c r="N49" s="494" t="s">
        <v>367</v>
      </c>
      <c r="O49" s="494" t="s">
        <v>369</v>
      </c>
      <c r="P49" s="494" t="s">
        <v>370</v>
      </c>
      <c r="Q49" s="494" t="s">
        <v>371</v>
      </c>
      <c r="R49" s="494" t="s">
        <v>404</v>
      </c>
      <c r="S49" s="494" t="s">
        <v>374</v>
      </c>
      <c r="T49" s="494" t="s">
        <v>375</v>
      </c>
      <c r="U49" s="494" t="s">
        <v>376</v>
      </c>
      <c r="V49" s="494" t="s">
        <v>378</v>
      </c>
      <c r="W49" s="494" t="s">
        <v>405</v>
      </c>
    </row>
    <row r="50" spans="2:41" x14ac:dyDescent="0.25">
      <c r="B50" s="468">
        <v>1</v>
      </c>
      <c r="C50" s="469" t="s">
        <v>732</v>
      </c>
      <c r="D50" s="524">
        <v>0</v>
      </c>
      <c r="E50" s="469"/>
      <c r="F50" s="524">
        <v>0</v>
      </c>
      <c r="G50" s="478"/>
      <c r="H50" s="524">
        <f>+D50+E50-F50-G50</f>
        <v>0</v>
      </c>
      <c r="I50" s="526">
        <f>+H50</f>
        <v>0</v>
      </c>
      <c r="J50" s="237"/>
      <c r="K50" s="524">
        <v>0</v>
      </c>
      <c r="L50" s="478"/>
      <c r="M50" s="524">
        <f>+I50+J50-K50-L50</f>
        <v>0</v>
      </c>
      <c r="N50" s="526">
        <f>+M50</f>
        <v>0</v>
      </c>
      <c r="O50" s="237"/>
      <c r="P50" s="237"/>
      <c r="Q50" s="478"/>
      <c r="R50" s="524">
        <f>+N50+O50-P50-Q50</f>
        <v>0</v>
      </c>
      <c r="S50" s="526">
        <f>+R50</f>
        <v>0</v>
      </c>
      <c r="T50" s="237"/>
      <c r="U50" s="237"/>
      <c r="V50" s="478"/>
      <c r="W50" s="524">
        <f>+S50+T50-U50-V50</f>
        <v>0</v>
      </c>
      <c r="Y50" s="712">
        <f>+Assum!D13</f>
        <v>0</v>
      </c>
      <c r="Z50" s="585"/>
      <c r="AA50" s="585"/>
      <c r="AB50" s="715">
        <v>0</v>
      </c>
      <c r="AD50" s="580">
        <f>N16*Y50/2</f>
        <v>0</v>
      </c>
      <c r="AE50" s="580">
        <f>N16*Y50/2+Y50*O16/2</f>
        <v>0</v>
      </c>
      <c r="AF50" s="580">
        <f t="shared" ref="AF50:AF55" si="19">SUM(AD50:AE50)</f>
        <v>0</v>
      </c>
      <c r="AG50" s="1"/>
      <c r="AH50" s="586">
        <f t="shared" ref="AH50:AH55" si="20">IFERROR(D50/D16,0)</f>
        <v>0</v>
      </c>
      <c r="AI50" s="586">
        <f t="shared" ref="AI50:AI55" si="21">IFERROR(I50/I16,0)</f>
        <v>0</v>
      </c>
      <c r="AJ50" s="586">
        <f t="shared" ref="AJ50:AJ55" si="22">IFERROR(N50/N16,0)</f>
        <v>0</v>
      </c>
      <c r="AK50" s="586">
        <f t="shared" ref="AK50:AK55" si="23">IFERROR(W50/W16,0)</f>
        <v>0</v>
      </c>
      <c r="AL50" s="586">
        <f t="shared" ref="AL50:AL55" si="24">IFERROR(D67/D32,0)</f>
        <v>0</v>
      </c>
      <c r="AM50" s="586">
        <f t="shared" ref="AM50:AM55" si="25">IFERROR(I67/I32,0)</f>
        <v>0</v>
      </c>
      <c r="AN50" s="586">
        <f t="shared" ref="AN50:AN55" si="26">IFERROR(N67/N32,0)</f>
        <v>0</v>
      </c>
      <c r="AO50" s="586">
        <f t="shared" ref="AO50:AO55" si="27">IFERROR(S67/S32,0)</f>
        <v>0</v>
      </c>
    </row>
    <row r="51" spans="2:41" x14ac:dyDescent="0.25">
      <c r="B51" s="468">
        <f>+B50+1</f>
        <v>2</v>
      </c>
      <c r="C51" s="469" t="s">
        <v>265</v>
      </c>
      <c r="D51" s="524">
        <v>303.60909833688004</v>
      </c>
      <c r="E51" s="526">
        <f>IF(AH51&gt;=90%,0,IF(AH51&gt;=70%,MIN(D17*90%-D51,D17*$AB51),D17*$Y51))+E17*$Y51/2</f>
        <v>29.142069607015205</v>
      </c>
      <c r="F51" s="524">
        <v>0</v>
      </c>
      <c r="G51" s="478"/>
      <c r="H51" s="524">
        <f t="shared" ref="H51:H55" si="28">+D51+E51-F51-G51</f>
        <v>332.75116794389527</v>
      </c>
      <c r="I51" s="526">
        <f t="shared" ref="I51:I55" si="29">+H51</f>
        <v>332.75116794389527</v>
      </c>
      <c r="J51" s="526">
        <f>IF(AI51&gt;=90%,0,IF(AI51&gt;=70%,MIN(I17*90%-I51,I17*$AB51),I17*$Y51))+J17*$Y51/2</f>
        <v>29.170634958775203</v>
      </c>
      <c r="K51" s="524">
        <v>0</v>
      </c>
      <c r="L51" s="478"/>
      <c r="M51" s="524">
        <f t="shared" ref="M51:M55" si="30">+I51+J51-K51-L51</f>
        <v>361.92180290267049</v>
      </c>
      <c r="N51" s="526">
        <f t="shared" ref="N51:N55" si="31">+M51</f>
        <v>361.92180290267049</v>
      </c>
      <c r="O51" s="526">
        <f>IF(AJ51&gt;=90%,0,IF(AJ51&gt;=70%,MIN(N17*90%-N51,N17*$AB51),N17*$Y51))+O17*$Y51/2</f>
        <v>29.186799190560006</v>
      </c>
      <c r="P51" s="237"/>
      <c r="Q51" s="478"/>
      <c r="R51" s="524">
        <f t="shared" ref="R51:R55" si="32">+N51+O51-P51-Q51</f>
        <v>391.1086020932305</v>
      </c>
      <c r="S51" s="526">
        <f t="shared" ref="S51:S55" si="33">+R51</f>
        <v>391.1086020932305</v>
      </c>
      <c r="T51" s="526">
        <f ca="1">IF(AK51&gt;=90%,0,IF(AK51&gt;=70%,MIN(S17*90%-S51,S17*$AB51),S17*$Y51))+T17*$Y51/2</f>
        <v>7.5420039231818192</v>
      </c>
      <c r="U51" s="237"/>
      <c r="V51" s="478"/>
      <c r="W51" s="524">
        <f t="shared" ref="W51:W55" ca="1" si="34">+S51+T51-U51-V51</f>
        <v>398.65060601641233</v>
      </c>
      <c r="Y51" s="712">
        <f>+Assum!D14</f>
        <v>5.28E-2</v>
      </c>
      <c r="Z51" s="585">
        <v>35</v>
      </c>
      <c r="AA51" s="585">
        <f>Z51-ROUND(70%/Y51,0)</f>
        <v>22</v>
      </c>
      <c r="AB51" s="716">
        <f>30%/AA51</f>
        <v>1.3636363636363636E-2</v>
      </c>
      <c r="AC51" s="1"/>
      <c r="AD51" s="580">
        <f t="shared" ref="AD51:AD55" si="35">N17*Y51/2</f>
        <v>14.585479595280002</v>
      </c>
      <c r="AE51" s="580">
        <f t="shared" ref="AE51:AE55" si="36">N17*Y51/2+Y51*O17/2</f>
        <v>14.601319595280003</v>
      </c>
      <c r="AF51" s="580">
        <f t="shared" si="19"/>
        <v>29.186799190560006</v>
      </c>
      <c r="AG51" s="581">
        <f>AF51-O51</f>
        <v>0</v>
      </c>
      <c r="AH51" s="586">
        <f t="shared" si="20"/>
        <v>0.55061670777250249</v>
      </c>
      <c r="AI51" s="586">
        <f t="shared" si="21"/>
        <v>0.60229943492447491</v>
      </c>
      <c r="AJ51" s="586">
        <f t="shared" si="22"/>
        <v>0.6550854590837385</v>
      </c>
      <c r="AK51" s="586">
        <f t="shared" ca="1" si="23"/>
        <v>0.72078252449425029</v>
      </c>
      <c r="AL51" s="586">
        <f t="shared" ca="1" si="24"/>
        <v>0.72078252449425029</v>
      </c>
      <c r="AM51" s="586">
        <f t="shared" ca="1" si="25"/>
        <v>0.73441888813061396</v>
      </c>
      <c r="AN51" s="586">
        <f t="shared" ca="1" si="26"/>
        <v>0.74805525176697762</v>
      </c>
      <c r="AO51" s="586">
        <f t="shared" ca="1" si="27"/>
        <v>0.76169161540334118</v>
      </c>
    </row>
    <row r="52" spans="2:41" x14ac:dyDescent="0.25">
      <c r="B52" s="468">
        <f t="shared" ref="B52:B55" si="37">+B51+1</f>
        <v>3</v>
      </c>
      <c r="C52" s="238" t="s">
        <v>272</v>
      </c>
      <c r="D52" s="524">
        <v>3.6058148379999995E-2</v>
      </c>
      <c r="E52" s="526">
        <f t="shared" ref="E52:E55" si="38">IF(AH52&gt;=90%,0,IF(AH52&gt;=70%,MIN(D18*90%-D52,D18*$AB52),D18*$Y52))+E18*$Y52/2</f>
        <v>1.21495978575E-2</v>
      </c>
      <c r="F52" s="524">
        <v>0</v>
      </c>
      <c r="G52" s="479"/>
      <c r="H52" s="524">
        <f t="shared" si="28"/>
        <v>4.8207746237499995E-2</v>
      </c>
      <c r="I52" s="526">
        <f t="shared" si="29"/>
        <v>4.8207746237499995E-2</v>
      </c>
      <c r="J52" s="526">
        <f t="shared" ref="J52:J55" si="39">IF(AI52&gt;=90%,0,IF(AI52&gt;=70%,MIN(I18*90%-I52,I18*$AB52),I18*$Y52))+J18*$Y52/2</f>
        <v>2.7018486330749998E-2</v>
      </c>
      <c r="K52" s="524">
        <v>-1.036683E-3</v>
      </c>
      <c r="L52" s="479"/>
      <c r="M52" s="524">
        <f t="shared" si="30"/>
        <v>7.6262915568249989E-2</v>
      </c>
      <c r="N52" s="526">
        <f t="shared" si="31"/>
        <v>7.6262915568249989E-2</v>
      </c>
      <c r="O52" s="526">
        <f t="shared" ref="O52:O55" si="40">IF(AJ52&gt;=90%,0,IF(AJ52&gt;=70%,MIN(N18*90%-N52,N18*$AB52),N18*$Y52))+O18*$Y52/2</f>
        <v>4.0388225142299998E-2</v>
      </c>
      <c r="P52" s="237"/>
      <c r="Q52" s="479"/>
      <c r="R52" s="524">
        <f t="shared" si="32"/>
        <v>0.11665114071054999</v>
      </c>
      <c r="S52" s="526">
        <f t="shared" si="33"/>
        <v>0.11665114071054999</v>
      </c>
      <c r="T52" s="526">
        <f t="shared" ref="T52:T55" ca="1" si="41">IF(AK52&gt;=90%,0,IF(AK52&gt;=70%,MIN(S18*90%-S52,S18*$AB52),S18*$Y52))+T18*$Y52/2</f>
        <v>4.0388225142299998E-2</v>
      </c>
      <c r="U52" s="237"/>
      <c r="V52" s="479"/>
      <c r="W52" s="524">
        <f t="shared" ca="1" si="34"/>
        <v>0.15703936585285</v>
      </c>
      <c r="Y52" s="712">
        <f>+Assum!D15</f>
        <v>6.3299999999999995E-2</v>
      </c>
      <c r="Z52" s="585">
        <v>20</v>
      </c>
      <c r="AA52" s="585">
        <f t="shared" ref="AA52:AA55" si="42">Z52-ROUND(70%/Y52,0)</f>
        <v>9</v>
      </c>
      <c r="AB52" s="716">
        <f t="shared" ref="AB52:AB55" si="43">30%/AA52</f>
        <v>3.3333333333333333E-2</v>
      </c>
      <c r="AC52" s="1"/>
      <c r="AD52" s="580">
        <f t="shared" si="35"/>
        <v>2.0194112571149999E-2</v>
      </c>
      <c r="AE52" s="580">
        <f t="shared" si="36"/>
        <v>2.0194112571149999E-2</v>
      </c>
      <c r="AF52" s="580">
        <f t="shared" si="19"/>
        <v>4.0388225142299998E-2</v>
      </c>
      <c r="AG52" s="581">
        <f t="shared" ref="AG52:AG55" si="44">AF52-O52</f>
        <v>0</v>
      </c>
      <c r="AH52" s="586">
        <f t="shared" si="20"/>
        <v>0.22062239010072909</v>
      </c>
      <c r="AI52" s="586">
        <f t="shared" si="21"/>
        <v>0.21869345414356367</v>
      </c>
      <c r="AJ52" s="586">
        <f t="shared" si="22"/>
        <v>0.11952598903422164</v>
      </c>
      <c r="AK52" s="586">
        <f t="shared" ca="1" si="23"/>
        <v>0.24612598903422167</v>
      </c>
      <c r="AL52" s="586">
        <f t="shared" ca="1" si="24"/>
        <v>0.24612598903422167</v>
      </c>
      <c r="AM52" s="586">
        <f t="shared" ca="1" si="25"/>
        <v>0.30942598903422169</v>
      </c>
      <c r="AN52" s="586">
        <f t="shared" ca="1" si="26"/>
        <v>0.37272598903422166</v>
      </c>
      <c r="AO52" s="586">
        <f t="shared" ca="1" si="27"/>
        <v>0.43602598903422168</v>
      </c>
    </row>
    <row r="53" spans="2:41" x14ac:dyDescent="0.25">
      <c r="B53" s="468">
        <f t="shared" si="37"/>
        <v>4</v>
      </c>
      <c r="C53" s="469" t="s">
        <v>769</v>
      </c>
      <c r="D53" s="524">
        <v>2.9162333500000002E-2</v>
      </c>
      <c r="E53" s="526">
        <f t="shared" si="38"/>
        <v>1.7368654500000001E-3</v>
      </c>
      <c r="F53" s="524">
        <v>-5.2560899999999997E-3</v>
      </c>
      <c r="G53" s="478"/>
      <c r="H53" s="524">
        <f t="shared" si="28"/>
        <v>3.6155288950000003E-2</v>
      </c>
      <c r="I53" s="526">
        <f t="shared" si="29"/>
        <v>3.6155288950000003E-2</v>
      </c>
      <c r="J53" s="526">
        <f t="shared" si="39"/>
        <v>3.9151579800000003E-3</v>
      </c>
      <c r="K53" s="524">
        <v>-5.1262199999999999E-3</v>
      </c>
      <c r="L53" s="478"/>
      <c r="M53" s="524">
        <f t="shared" si="30"/>
        <v>4.5196666930000004E-2</v>
      </c>
      <c r="N53" s="526">
        <f t="shared" si="31"/>
        <v>4.5196666930000004E-2</v>
      </c>
      <c r="O53" s="526">
        <f t="shared" si="40"/>
        <v>1.3322724900000001E-2</v>
      </c>
      <c r="P53" s="237"/>
      <c r="Q53" s="478"/>
      <c r="R53" s="524">
        <f t="shared" si="32"/>
        <v>5.8519391830000003E-2</v>
      </c>
      <c r="S53" s="526">
        <f t="shared" si="33"/>
        <v>5.8519391830000003E-2</v>
      </c>
      <c r="T53" s="526">
        <f t="shared" ca="1" si="41"/>
        <v>2.66454498E-3</v>
      </c>
      <c r="U53" s="237"/>
      <c r="V53" s="478"/>
      <c r="W53" s="524">
        <f t="shared" ca="1" si="34"/>
        <v>6.1183936810000006E-2</v>
      </c>
      <c r="Y53" s="712">
        <f>+Assum!D16</f>
        <v>0.15</v>
      </c>
      <c r="Z53" s="585">
        <v>15</v>
      </c>
      <c r="AA53" s="585">
        <f t="shared" si="42"/>
        <v>10</v>
      </c>
      <c r="AB53" s="716">
        <f t="shared" si="43"/>
        <v>0.03</v>
      </c>
      <c r="AC53" s="1"/>
      <c r="AD53" s="580">
        <f t="shared" si="35"/>
        <v>6.6613624500000005E-3</v>
      </c>
      <c r="AE53" s="580">
        <f t="shared" si="36"/>
        <v>6.6613624500000005E-3</v>
      </c>
      <c r="AF53" s="580">
        <f t="shared" si="19"/>
        <v>1.3322724900000001E-2</v>
      </c>
      <c r="AG53" s="581">
        <f t="shared" si="44"/>
        <v>0</v>
      </c>
      <c r="AH53" s="586">
        <f t="shared" si="20"/>
        <v>0.77643855949689955</v>
      </c>
      <c r="AI53" s="586">
        <f t="shared" si="21"/>
        <v>0.70158445144490311</v>
      </c>
      <c r="AJ53" s="586">
        <f t="shared" si="22"/>
        <v>0.5088673743837494</v>
      </c>
      <c r="AK53" s="586">
        <f t="shared" ca="1" si="23"/>
        <v>0.68886737438374945</v>
      </c>
      <c r="AL53" s="586">
        <f t="shared" ca="1" si="24"/>
        <v>0.80886737438374934</v>
      </c>
      <c r="AM53" s="586">
        <f t="shared" ca="1" si="25"/>
        <v>0.95886737438374936</v>
      </c>
      <c r="AN53" s="586">
        <f t="shared" ca="1" si="26"/>
        <v>0.9</v>
      </c>
      <c r="AO53" s="586">
        <f t="shared" ca="1" si="27"/>
        <v>0.9</v>
      </c>
    </row>
    <row r="54" spans="2:41" ht="16.8" x14ac:dyDescent="0.25">
      <c r="B54" s="468">
        <f t="shared" si="37"/>
        <v>5</v>
      </c>
      <c r="C54" s="469" t="s">
        <v>770</v>
      </c>
      <c r="D54" s="524">
        <v>7.3491219400000002E-2</v>
      </c>
      <c r="E54" s="526">
        <f t="shared" si="38"/>
        <v>1.3889062582649998E-2</v>
      </c>
      <c r="F54" s="524">
        <v>0</v>
      </c>
      <c r="G54" s="478"/>
      <c r="H54" s="524">
        <f t="shared" si="28"/>
        <v>8.7380281982649993E-2</v>
      </c>
      <c r="I54" s="526">
        <f t="shared" si="29"/>
        <v>8.7380281982649993E-2</v>
      </c>
      <c r="J54" s="526">
        <f t="shared" si="39"/>
        <v>1.9650727995299998E-2</v>
      </c>
      <c r="K54" s="524">
        <v>-1.5225529999999999E-2</v>
      </c>
      <c r="L54" s="478"/>
      <c r="M54" s="524">
        <f t="shared" si="30"/>
        <v>0.12225653997795</v>
      </c>
      <c r="N54" s="526">
        <f t="shared" si="31"/>
        <v>0.12225653997795</v>
      </c>
      <c r="O54" s="526">
        <f t="shared" si="40"/>
        <v>2.0659204605299998E-2</v>
      </c>
      <c r="P54" s="237"/>
      <c r="Q54" s="478"/>
      <c r="R54" s="524">
        <f t="shared" si="32"/>
        <v>0.14291574458324999</v>
      </c>
      <c r="S54" s="526">
        <f t="shared" si="33"/>
        <v>0.14291574458324999</v>
      </c>
      <c r="T54" s="526">
        <f t="shared" ca="1" si="41"/>
        <v>2.0659204605299998E-2</v>
      </c>
      <c r="U54" s="237"/>
      <c r="V54" s="478"/>
      <c r="W54" s="524">
        <f t="shared" ca="1" si="34"/>
        <v>0.16357494918854998</v>
      </c>
      <c r="Y54" s="712">
        <f>+Assum!D17</f>
        <v>6.3299999999999995E-2</v>
      </c>
      <c r="Z54" s="585">
        <v>20</v>
      </c>
      <c r="AA54" s="585">
        <f t="shared" si="42"/>
        <v>9</v>
      </c>
      <c r="AB54" s="716">
        <f t="shared" si="43"/>
        <v>3.3333333333333333E-2</v>
      </c>
      <c r="AC54" s="717"/>
      <c r="AD54" s="580">
        <f t="shared" si="35"/>
        <v>1.0329602302649999E-2</v>
      </c>
      <c r="AE54" s="580">
        <f t="shared" si="36"/>
        <v>1.0329602302649999E-2</v>
      </c>
      <c r="AF54" s="580">
        <f t="shared" si="19"/>
        <v>2.0659204605299998E-2</v>
      </c>
      <c r="AG54" s="581">
        <f t="shared" si="44"/>
        <v>0</v>
      </c>
      <c r="AH54" s="586">
        <f t="shared" si="20"/>
        <v>0.57238425669555404</v>
      </c>
      <c r="AI54" s="586">
        <f t="shared" si="21"/>
        <v>0.28147414440954416</v>
      </c>
      <c r="AJ54" s="586">
        <f t="shared" si="22"/>
        <v>0.37459520482307823</v>
      </c>
      <c r="AK54" s="586">
        <f t="shared" ca="1" si="23"/>
        <v>0.50119520482307822</v>
      </c>
      <c r="AL54" s="586">
        <f t="shared" ca="1" si="24"/>
        <v>0.50119520482307822</v>
      </c>
      <c r="AM54" s="586">
        <f t="shared" ca="1" si="25"/>
        <v>0.56449520482307813</v>
      </c>
      <c r="AN54" s="586">
        <f t="shared" ca="1" si="26"/>
        <v>0.62779520482307816</v>
      </c>
      <c r="AO54" s="586">
        <f t="shared" ca="1" si="27"/>
        <v>0.69109520482307807</v>
      </c>
    </row>
    <row r="55" spans="2:41" ht="16.8" x14ac:dyDescent="0.25">
      <c r="B55" s="468">
        <f t="shared" si="37"/>
        <v>6</v>
      </c>
      <c r="C55" s="469" t="s">
        <v>266</v>
      </c>
      <c r="D55" s="524">
        <v>0</v>
      </c>
      <c r="E55" s="526">
        <f t="shared" si="38"/>
        <v>4.9421600125099996E-2</v>
      </c>
      <c r="F55" s="524">
        <v>0</v>
      </c>
      <c r="G55" s="478"/>
      <c r="H55" s="524">
        <f t="shared" si="28"/>
        <v>4.9421600125099996E-2</v>
      </c>
      <c r="I55" s="526">
        <f t="shared" si="29"/>
        <v>4.9421600125099996E-2</v>
      </c>
      <c r="J55" s="526">
        <f t="shared" si="39"/>
        <v>9.8843200250199992E-2</v>
      </c>
      <c r="K55" s="524">
        <v>0</v>
      </c>
      <c r="L55" s="478"/>
      <c r="M55" s="524">
        <f t="shared" si="30"/>
        <v>0.14826480037529999</v>
      </c>
      <c r="N55" s="526">
        <f t="shared" si="31"/>
        <v>0.14826480037529999</v>
      </c>
      <c r="O55" s="526">
        <f t="shared" si="40"/>
        <v>9.8843200250199992E-2</v>
      </c>
      <c r="P55" s="237"/>
      <c r="Q55" s="478"/>
      <c r="R55" s="524">
        <f t="shared" si="32"/>
        <v>0.24710800062549998</v>
      </c>
      <c r="S55" s="526">
        <f t="shared" si="33"/>
        <v>0.24710800062549998</v>
      </c>
      <c r="T55" s="526">
        <f t="shared" ca="1" si="41"/>
        <v>9.8843200250199992E-2</v>
      </c>
      <c r="U55" s="237"/>
      <c r="V55" s="478"/>
      <c r="W55" s="524">
        <f t="shared" ca="1" si="34"/>
        <v>0.34595120087569997</v>
      </c>
      <c r="Y55" s="712">
        <f>+Assum!D18</f>
        <v>3.3399999999999999E-2</v>
      </c>
      <c r="Z55" s="585">
        <v>35</v>
      </c>
      <c r="AA55" s="585">
        <f t="shared" si="42"/>
        <v>14</v>
      </c>
      <c r="AB55" s="716">
        <f t="shared" si="43"/>
        <v>2.1428571428571429E-2</v>
      </c>
      <c r="AC55" s="717"/>
      <c r="AD55" s="580">
        <f t="shared" si="35"/>
        <v>4.9421600125099996E-2</v>
      </c>
      <c r="AE55" s="580">
        <f t="shared" si="36"/>
        <v>4.9421600125099996E-2</v>
      </c>
      <c r="AF55" s="580">
        <f t="shared" si="19"/>
        <v>9.8843200250199992E-2</v>
      </c>
      <c r="AG55" s="581">
        <f t="shared" si="44"/>
        <v>0</v>
      </c>
      <c r="AH55" s="586">
        <f t="shared" si="20"/>
        <v>0</v>
      </c>
      <c r="AI55" s="586">
        <f t="shared" si="21"/>
        <v>1.67E-2</v>
      </c>
      <c r="AJ55" s="586">
        <f t="shared" si="22"/>
        <v>5.0099999999999999E-2</v>
      </c>
      <c r="AK55" s="586">
        <f t="shared" ca="1" si="23"/>
        <v>0.11689999999999999</v>
      </c>
      <c r="AL55" s="586">
        <f t="shared" ca="1" si="24"/>
        <v>0.11689999999999999</v>
      </c>
      <c r="AM55" s="586">
        <f t="shared" ca="1" si="25"/>
        <v>0.15029999999999999</v>
      </c>
      <c r="AN55" s="586">
        <f t="shared" ca="1" si="26"/>
        <v>0.18369999999999997</v>
      </c>
      <c r="AO55" s="586">
        <f t="shared" ca="1" si="27"/>
        <v>0.21709999999999999</v>
      </c>
    </row>
    <row r="56" spans="2:41" x14ac:dyDescent="0.25">
      <c r="B56" s="468"/>
      <c r="C56" s="469"/>
      <c r="D56" s="470"/>
      <c r="E56" s="470"/>
      <c r="F56" s="470"/>
      <c r="G56" s="478"/>
      <c r="H56" s="470"/>
      <c r="I56" s="237"/>
      <c r="J56" s="471"/>
      <c r="K56" s="471"/>
      <c r="L56" s="478"/>
      <c r="M56" s="237"/>
      <c r="N56" s="237"/>
      <c r="O56" s="471"/>
      <c r="P56" s="471"/>
      <c r="Q56" s="478"/>
      <c r="R56" s="237"/>
      <c r="S56" s="237"/>
      <c r="T56" s="237"/>
      <c r="U56" s="237"/>
      <c r="V56" s="478"/>
      <c r="W56" s="237"/>
    </row>
    <row r="57" spans="2:41" ht="16.8" x14ac:dyDescent="0.25">
      <c r="B57" s="472"/>
      <c r="C57" s="473" t="s">
        <v>180</v>
      </c>
      <c r="D57" s="525">
        <f>SUM(D49:D55)</f>
        <v>303.74781003816003</v>
      </c>
      <c r="E57" s="525">
        <f t="shared" ref="E57" si="45">SUM(E49:E55)</f>
        <v>29.219266733030455</v>
      </c>
      <c r="F57" s="525">
        <f t="shared" ref="F57" si="46">SUM(F49:F55)</f>
        <v>-5.2560899999999997E-3</v>
      </c>
      <c r="G57" s="525">
        <f t="shared" ref="G57" si="47">SUM(G49:G55)</f>
        <v>0</v>
      </c>
      <c r="H57" s="525">
        <f t="shared" ref="H57" si="48">SUM(H49:H55)</f>
        <v>332.97233286119047</v>
      </c>
      <c r="I57" s="525">
        <f t="shared" ref="I57" si="49">SUM(I49:I55)</f>
        <v>332.97233286119047</v>
      </c>
      <c r="J57" s="525">
        <f t="shared" ref="J57" si="50">SUM(J49:J55)</f>
        <v>29.320062531331455</v>
      </c>
      <c r="K57" s="525">
        <f t="shared" ref="K57" si="51">SUM(K49:K55)</f>
        <v>-2.1388432999999998E-2</v>
      </c>
      <c r="L57" s="525">
        <f t="shared" ref="L57" si="52">SUM(L49:L55)</f>
        <v>0</v>
      </c>
      <c r="M57" s="525">
        <f t="shared" ref="M57" si="53">SUM(M49:M55)</f>
        <v>362.31378382552197</v>
      </c>
      <c r="N57" s="525">
        <f t="shared" ref="N57" si="54">SUM(N49:N55)</f>
        <v>362.31378382552197</v>
      </c>
      <c r="O57" s="525">
        <f t="shared" ref="O57" si="55">SUM(O49:O55)</f>
        <v>29.360012545457806</v>
      </c>
      <c r="P57" s="525">
        <f t="shared" ref="P57" si="56">SUM(P49:P55)</f>
        <v>0</v>
      </c>
      <c r="Q57" s="525">
        <f t="shared" ref="Q57" si="57">SUM(Q49:Q55)</f>
        <v>0</v>
      </c>
      <c r="R57" s="525">
        <f t="shared" ref="R57" si="58">SUM(R49:R55)</f>
        <v>391.67379637097974</v>
      </c>
      <c r="S57" s="525">
        <f t="shared" ref="S57" si="59">SUM(S49:S55)</f>
        <v>391.67379637097974</v>
      </c>
      <c r="T57" s="525">
        <f t="shared" ref="T57" ca="1" si="60">SUM(T49:T55)</f>
        <v>7.7045590981596188</v>
      </c>
      <c r="U57" s="525">
        <f t="shared" ref="U57" si="61">SUM(U49:U55)</f>
        <v>0</v>
      </c>
      <c r="V57" s="525">
        <f t="shared" ref="V57" si="62">SUM(V49:V55)</f>
        <v>0</v>
      </c>
      <c r="W57" s="525">
        <f t="shared" ref="W57" ca="1" si="63">SUM(W49:W55)</f>
        <v>399.37835546913936</v>
      </c>
    </row>
    <row r="58" spans="2:41" ht="16.8" x14ac:dyDescent="0.25">
      <c r="B58" s="474"/>
      <c r="C58" s="475"/>
      <c r="D58" s="475"/>
      <c r="E58" s="475"/>
      <c r="F58" s="475"/>
      <c r="G58" s="475"/>
      <c r="H58" s="534"/>
      <c r="I58" s="474"/>
      <c r="J58" s="474"/>
      <c r="K58" s="474"/>
      <c r="L58" s="474"/>
      <c r="M58" s="474"/>
      <c r="N58" s="474"/>
      <c r="O58" s="474"/>
      <c r="P58" s="474"/>
      <c r="Q58" s="474"/>
      <c r="R58" s="474"/>
      <c r="T58" s="476"/>
      <c r="U58" s="476"/>
      <c r="V58" s="476"/>
    </row>
    <row r="59" spans="2:41" ht="16.8" x14ac:dyDescent="0.25">
      <c r="B59" s="454" t="s">
        <v>395</v>
      </c>
      <c r="C59" s="455"/>
      <c r="D59" s="455"/>
      <c r="E59" s="455"/>
      <c r="F59" s="455"/>
      <c r="G59" s="455"/>
      <c r="H59" s="455"/>
      <c r="I59" s="477"/>
      <c r="J59" s="477"/>
      <c r="K59" s="474"/>
      <c r="L59" s="474"/>
      <c r="M59" s="474"/>
      <c r="N59" s="474"/>
      <c r="O59" s="474"/>
      <c r="P59" s="474"/>
      <c r="Q59" s="474"/>
      <c r="R59" s="474"/>
      <c r="T59" s="476"/>
      <c r="U59" s="476"/>
      <c r="V59" s="476"/>
      <c r="X59" s="474"/>
      <c r="Y59" s="474"/>
      <c r="Z59" s="474"/>
      <c r="AA59" s="474"/>
      <c r="AB59" s="474"/>
      <c r="AC59" s="474"/>
      <c r="AD59" s="474"/>
      <c r="AE59" s="474"/>
      <c r="AF59" s="474"/>
      <c r="AG59" s="474"/>
      <c r="AH59" s="474"/>
      <c r="AI59" s="474"/>
      <c r="AJ59" s="474"/>
      <c r="AK59" s="474"/>
      <c r="AL59" s="474"/>
    </row>
    <row r="60" spans="2:41" ht="16.8" x14ac:dyDescent="0.25">
      <c r="B60" s="454" t="s">
        <v>396</v>
      </c>
      <c r="C60" s="455"/>
      <c r="D60" s="455"/>
      <c r="E60" s="455"/>
      <c r="F60" s="455"/>
      <c r="G60" s="455"/>
      <c r="H60" s="455"/>
      <c r="I60" s="477"/>
      <c r="J60" s="477"/>
      <c r="K60" s="474"/>
      <c r="L60" s="474"/>
      <c r="M60" s="474"/>
      <c r="N60" s="474"/>
      <c r="O60" s="474"/>
      <c r="P60" s="474"/>
      <c r="Q60" s="474"/>
      <c r="R60" s="474"/>
      <c r="T60" s="476"/>
      <c r="U60" s="476"/>
      <c r="V60" s="476"/>
      <c r="X60" s="474"/>
      <c r="Y60" s="474"/>
      <c r="Z60" s="474"/>
      <c r="AA60" s="474"/>
      <c r="AB60" s="474"/>
      <c r="AC60" s="474"/>
      <c r="AD60" s="474"/>
      <c r="AE60" s="474"/>
      <c r="AF60" s="474"/>
      <c r="AG60" s="474"/>
      <c r="AH60" s="474"/>
      <c r="AI60" s="474"/>
      <c r="AJ60" s="474"/>
      <c r="AK60" s="474"/>
      <c r="AL60" s="474"/>
    </row>
    <row r="61" spans="2:41" ht="16.8" x14ac:dyDescent="0.25">
      <c r="B61" s="474"/>
      <c r="C61" s="475"/>
      <c r="D61" s="475"/>
      <c r="E61" s="475"/>
      <c r="F61" s="475"/>
      <c r="G61" s="475"/>
      <c r="H61" s="475"/>
      <c r="I61" s="474"/>
      <c r="J61" s="474"/>
      <c r="K61" s="474"/>
      <c r="L61" s="474"/>
      <c r="M61" s="474"/>
      <c r="N61" s="474"/>
      <c r="O61" s="474"/>
      <c r="P61" s="474"/>
      <c r="Q61" s="474"/>
      <c r="R61" s="474"/>
      <c r="S61" s="474"/>
      <c r="T61" s="474"/>
      <c r="U61" s="474"/>
      <c r="V61" s="474"/>
      <c r="W61" s="474"/>
      <c r="X61" s="474"/>
      <c r="Y61" s="474"/>
      <c r="Z61" s="474"/>
      <c r="AA61" s="474"/>
      <c r="AB61" s="474"/>
      <c r="AC61" s="474"/>
      <c r="AD61" s="474"/>
      <c r="AE61" s="474"/>
      <c r="AF61" s="474"/>
      <c r="AG61" s="474"/>
      <c r="AH61" s="474"/>
      <c r="AI61" s="474"/>
      <c r="AJ61" s="474"/>
      <c r="AK61" s="474"/>
      <c r="AL61" s="474"/>
    </row>
    <row r="62" spans="2:41" ht="15" customHeight="1" x14ac:dyDescent="0.25">
      <c r="B62" s="474"/>
      <c r="C62" s="475"/>
      <c r="D62" s="475"/>
      <c r="E62" s="475"/>
      <c r="F62" s="475"/>
      <c r="G62" s="475"/>
      <c r="H62" s="475"/>
      <c r="I62" s="474"/>
      <c r="J62" s="474"/>
      <c r="K62" s="474"/>
      <c r="L62" s="474"/>
      <c r="M62" s="474"/>
      <c r="N62" s="474"/>
      <c r="O62" s="474"/>
      <c r="P62" s="474"/>
      <c r="Q62" s="474"/>
      <c r="R62" s="234" t="s">
        <v>73</v>
      </c>
      <c r="S62" s="474"/>
      <c r="T62" s="474"/>
      <c r="U62" s="474"/>
      <c r="V62" s="474"/>
      <c r="W62" s="474"/>
    </row>
    <row r="63" spans="2:41" x14ac:dyDescent="0.25">
      <c r="B63" s="1080" t="s">
        <v>1</v>
      </c>
      <c r="C63" s="1080" t="s">
        <v>74</v>
      </c>
      <c r="D63" s="1080" t="s">
        <v>88</v>
      </c>
      <c r="E63" s="1080"/>
      <c r="F63" s="1080"/>
      <c r="G63" s="1080"/>
      <c r="H63" s="1080"/>
      <c r="I63" s="1080" t="s">
        <v>89</v>
      </c>
      <c r="J63" s="1080"/>
      <c r="K63" s="1080"/>
      <c r="L63" s="1080"/>
      <c r="M63" s="1080"/>
      <c r="N63" s="1080" t="s">
        <v>90</v>
      </c>
      <c r="O63" s="1080"/>
      <c r="P63" s="1080"/>
      <c r="Q63" s="1080"/>
      <c r="R63" s="1080"/>
      <c r="S63" s="1080" t="s">
        <v>91</v>
      </c>
      <c r="T63" s="1080"/>
      <c r="U63" s="1080"/>
      <c r="V63" s="1080"/>
      <c r="W63" s="1080"/>
    </row>
    <row r="64" spans="2:41" x14ac:dyDescent="0.25">
      <c r="B64" s="1080"/>
      <c r="C64" s="1080"/>
      <c r="D64" s="1095" t="s">
        <v>103</v>
      </c>
      <c r="E64" s="1100"/>
      <c r="F64" s="1100"/>
      <c r="G64" s="1100"/>
      <c r="H64" s="1100"/>
      <c r="I64" s="1095" t="s">
        <v>103</v>
      </c>
      <c r="J64" s="1100"/>
      <c r="K64" s="1100"/>
      <c r="L64" s="1100"/>
      <c r="M64" s="1100"/>
      <c r="N64" s="1095" t="s">
        <v>103</v>
      </c>
      <c r="O64" s="1100"/>
      <c r="P64" s="1100"/>
      <c r="Q64" s="1100"/>
      <c r="R64" s="1100"/>
      <c r="S64" s="1095" t="s">
        <v>103</v>
      </c>
      <c r="T64" s="1100"/>
      <c r="U64" s="1100"/>
      <c r="V64" s="1100"/>
      <c r="W64" s="1100"/>
    </row>
    <row r="65" spans="2:23" ht="55.2" x14ac:dyDescent="0.25">
      <c r="B65" s="1080"/>
      <c r="C65" s="1080"/>
      <c r="D65" s="424" t="s">
        <v>392</v>
      </c>
      <c r="E65" s="424" t="s">
        <v>361</v>
      </c>
      <c r="F65" s="426" t="s">
        <v>393</v>
      </c>
      <c r="G65" s="424" t="s">
        <v>401</v>
      </c>
      <c r="H65" s="424" t="s">
        <v>394</v>
      </c>
      <c r="I65" s="424" t="s">
        <v>392</v>
      </c>
      <c r="J65" s="424" t="s">
        <v>361</v>
      </c>
      <c r="K65" s="426" t="s">
        <v>393</v>
      </c>
      <c r="L65" s="424" t="s">
        <v>401</v>
      </c>
      <c r="M65" s="424" t="s">
        <v>394</v>
      </c>
      <c r="N65" s="424" t="s">
        <v>392</v>
      </c>
      <c r="O65" s="424" t="s">
        <v>361</v>
      </c>
      <c r="P65" s="426" t="s">
        <v>393</v>
      </c>
      <c r="Q65" s="424" t="s">
        <v>401</v>
      </c>
      <c r="R65" s="424" t="s">
        <v>394</v>
      </c>
      <c r="S65" s="424" t="s">
        <v>392</v>
      </c>
      <c r="T65" s="424" t="s">
        <v>361</v>
      </c>
      <c r="U65" s="426" t="s">
        <v>393</v>
      </c>
      <c r="V65" s="424" t="s">
        <v>401</v>
      </c>
      <c r="W65" s="424" t="s">
        <v>394</v>
      </c>
    </row>
    <row r="66" spans="2:23" ht="27.6" x14ac:dyDescent="0.25">
      <c r="B66" s="418"/>
      <c r="C66" s="418"/>
      <c r="D66" s="494" t="s">
        <v>379</v>
      </c>
      <c r="E66" s="494" t="s">
        <v>380</v>
      </c>
      <c r="F66" s="494" t="s">
        <v>382</v>
      </c>
      <c r="G66" s="494" t="s">
        <v>383</v>
      </c>
      <c r="H66" s="494" t="s">
        <v>406</v>
      </c>
      <c r="I66" s="494" t="s">
        <v>384</v>
      </c>
      <c r="J66" s="494" t="s">
        <v>386</v>
      </c>
      <c r="K66" s="494" t="s">
        <v>387</v>
      </c>
      <c r="L66" s="494" t="s">
        <v>388</v>
      </c>
      <c r="M66" s="494" t="s">
        <v>407</v>
      </c>
      <c r="N66" s="494" t="s">
        <v>408</v>
      </c>
      <c r="O66" s="494" t="s">
        <v>409</v>
      </c>
      <c r="P66" s="494" t="s">
        <v>410</v>
      </c>
      <c r="Q66" s="494" t="s">
        <v>411</v>
      </c>
      <c r="R66" s="494" t="s">
        <v>412</v>
      </c>
      <c r="S66" s="494" t="s">
        <v>413</v>
      </c>
      <c r="T66" s="494" t="s">
        <v>414</v>
      </c>
      <c r="U66" s="494" t="s">
        <v>415</v>
      </c>
      <c r="V66" s="494" t="s">
        <v>416</v>
      </c>
      <c r="W66" s="494" t="s">
        <v>417</v>
      </c>
    </row>
    <row r="67" spans="2:23" x14ac:dyDescent="0.25">
      <c r="B67" s="468">
        <v>1</v>
      </c>
      <c r="C67" s="469" t="s">
        <v>732</v>
      </c>
      <c r="D67" s="524">
        <f>+W50</f>
        <v>0</v>
      </c>
      <c r="E67" s="469"/>
      <c r="F67" s="469"/>
      <c r="G67" s="478"/>
      <c r="H67" s="524">
        <f>+D67+E67-F67-G67</f>
        <v>0</v>
      </c>
      <c r="I67" s="526">
        <f>+H67</f>
        <v>0</v>
      </c>
      <c r="J67" s="237"/>
      <c r="K67" s="237"/>
      <c r="L67" s="478"/>
      <c r="M67" s="524">
        <f>+I67+J67-K67-L67</f>
        <v>0</v>
      </c>
      <c r="N67" s="526">
        <f>+M67</f>
        <v>0</v>
      </c>
      <c r="O67" s="237"/>
      <c r="P67" s="237"/>
      <c r="Q67" s="478"/>
      <c r="R67" s="524">
        <f>+N67+O67-P67-Q67</f>
        <v>0</v>
      </c>
      <c r="S67" s="526">
        <f>+R67</f>
        <v>0</v>
      </c>
      <c r="T67" s="237"/>
      <c r="U67" s="237"/>
      <c r="V67" s="478"/>
      <c r="W67" s="524">
        <f>+S67+T67-U67-V67</f>
        <v>0</v>
      </c>
    </row>
    <row r="68" spans="2:23" x14ac:dyDescent="0.25">
      <c r="B68" s="468">
        <f>+B67+1</f>
        <v>2</v>
      </c>
      <c r="C68" s="469" t="s">
        <v>265</v>
      </c>
      <c r="D68" s="524">
        <f t="shared" ref="D68:D72" ca="1" si="64">+W51</f>
        <v>398.65060601641233</v>
      </c>
      <c r="E68" s="526">
        <f ca="1">IF(AL51&gt;=90%,0,IF(AL51&gt;=70%,MIN(D33*90%-D68,D33*$AB51),D33*$Y51))+E33*$Y51/2</f>
        <v>7.5420039231818192</v>
      </c>
      <c r="F68" s="469"/>
      <c r="G68" s="478"/>
      <c r="H68" s="524">
        <f t="shared" ref="H68:H72" ca="1" si="65">+D68+E68-F68-G68</f>
        <v>406.19260993959415</v>
      </c>
      <c r="I68" s="526">
        <f t="shared" ref="I68:I72" ca="1" si="66">+H68</f>
        <v>406.19260993959415</v>
      </c>
      <c r="J68" s="526">
        <f ca="1">IF(AM51&gt;=90%,0,IF(AM51&gt;=70%,MIN(I33*90%-I68,I33*$AB51),I33*$Y51))+J33*$Y51/2</f>
        <v>7.5420039231818192</v>
      </c>
      <c r="K68" s="237"/>
      <c r="L68" s="478"/>
      <c r="M68" s="524">
        <f t="shared" ref="M68:M72" ca="1" si="67">+I68+J68-K68-L68</f>
        <v>413.73461386277597</v>
      </c>
      <c r="N68" s="526">
        <f t="shared" ref="N68:N72" ca="1" si="68">+M68</f>
        <v>413.73461386277597</v>
      </c>
      <c r="O68" s="526">
        <f ca="1">IF(AN51&gt;=90%,0,IF(AN51&gt;=70%,MIN(N33*90%-N68,N33*$AB51),N33*$Y51))+O33*$Y51/2</f>
        <v>7.5420039231818192</v>
      </c>
      <c r="P68" s="237"/>
      <c r="Q68" s="478"/>
      <c r="R68" s="524">
        <f t="shared" ref="R68:R72" ca="1" si="69">+N68+O68-P68-Q68</f>
        <v>421.2766177859578</v>
      </c>
      <c r="S68" s="526">
        <f t="shared" ref="S68:S72" ca="1" si="70">+R68</f>
        <v>421.2766177859578</v>
      </c>
      <c r="T68" s="526">
        <f ca="1">IF(AO51&gt;=90%,0,IF(AO51&gt;=70%,MIN(S33*90%-S68,S33*$AB51),S33*$Y51))+T33*$Y51/2</f>
        <v>7.5420039231818192</v>
      </c>
      <c r="U68" s="237"/>
      <c r="V68" s="478"/>
      <c r="W68" s="524">
        <f t="shared" ref="W68:W72" ca="1" si="71">+S68+T68-U68-V68</f>
        <v>428.81862170913962</v>
      </c>
    </row>
    <row r="69" spans="2:23" x14ac:dyDescent="0.25">
      <c r="B69" s="468">
        <f t="shared" ref="B69:B72" si="72">+B68+1</f>
        <v>3</v>
      </c>
      <c r="C69" s="238" t="s">
        <v>272</v>
      </c>
      <c r="D69" s="524">
        <f t="shared" ca="1" si="64"/>
        <v>0.15703936585285</v>
      </c>
      <c r="E69" s="526">
        <f t="shared" ref="E69:E72" ca="1" si="73">IF(AL52&gt;=90%,0,IF(AL52&gt;=70%,MIN(D34*90%-D69,D34*$AB52),D34*$Y52))+E34*$Y52/2</f>
        <v>4.0388225142299998E-2</v>
      </c>
      <c r="F69" s="238"/>
      <c r="G69" s="479"/>
      <c r="H69" s="524">
        <f t="shared" ca="1" si="65"/>
        <v>0.19742759099515</v>
      </c>
      <c r="I69" s="526">
        <f t="shared" ca="1" si="66"/>
        <v>0.19742759099515</v>
      </c>
      <c r="J69" s="526">
        <f t="shared" ref="J69:J72" ca="1" si="74">IF(AM52&gt;=90%,0,IF(AM52&gt;=70%,MIN(I34*90%-I69,I34*$AB52),I34*$Y52))+J34*$Y52/2</f>
        <v>4.0388225142299998E-2</v>
      </c>
      <c r="K69" s="237"/>
      <c r="L69" s="479"/>
      <c r="M69" s="524">
        <f t="shared" ca="1" si="67"/>
        <v>0.23781581613745001</v>
      </c>
      <c r="N69" s="526">
        <f t="shared" ca="1" si="68"/>
        <v>0.23781581613745001</v>
      </c>
      <c r="O69" s="526">
        <f t="shared" ref="O69:O72" ca="1" si="75">IF(AN52&gt;=90%,0,IF(AN52&gt;=70%,MIN(N34*90%-N69,N34*$AB52),N34*$Y52))+O34*$Y52/2</f>
        <v>4.0388225142299998E-2</v>
      </c>
      <c r="P69" s="237"/>
      <c r="Q69" s="479"/>
      <c r="R69" s="524">
        <f t="shared" ca="1" si="69"/>
        <v>0.27820404127975001</v>
      </c>
      <c r="S69" s="526">
        <f t="shared" ca="1" si="70"/>
        <v>0.27820404127975001</v>
      </c>
      <c r="T69" s="526">
        <f t="shared" ref="T69:T72" ca="1" si="76">IF(AO52&gt;=90%,0,IF(AO52&gt;=70%,MIN(S34*90%-S69,S34*$AB52),S34*$Y52))+T34*$Y52/2</f>
        <v>4.0388225142299998E-2</v>
      </c>
      <c r="U69" s="237"/>
      <c r="V69" s="479"/>
      <c r="W69" s="524">
        <f t="shared" ca="1" si="71"/>
        <v>0.31859226642205002</v>
      </c>
    </row>
    <row r="70" spans="2:23" x14ac:dyDescent="0.25">
      <c r="B70" s="468">
        <f t="shared" si="72"/>
        <v>4</v>
      </c>
      <c r="C70" s="469" t="s">
        <v>769</v>
      </c>
      <c r="D70" s="524">
        <f t="shared" ca="1" si="64"/>
        <v>6.1183936810000006E-2</v>
      </c>
      <c r="E70" s="526">
        <f t="shared" ca="1" si="73"/>
        <v>2.66454498E-3</v>
      </c>
      <c r="F70" s="469"/>
      <c r="G70" s="478"/>
      <c r="H70" s="524">
        <f t="shared" ca="1" si="65"/>
        <v>6.3848481790000008E-2</v>
      </c>
      <c r="I70" s="526">
        <f t="shared" ca="1" si="66"/>
        <v>6.3848481790000008E-2</v>
      </c>
      <c r="J70" s="526">
        <f t="shared" ca="1" si="74"/>
        <v>0</v>
      </c>
      <c r="K70" s="237"/>
      <c r="L70" s="478"/>
      <c r="M70" s="524">
        <f t="shared" ca="1" si="67"/>
        <v>6.3848481790000008E-2</v>
      </c>
      <c r="N70" s="526">
        <f t="shared" ca="1" si="68"/>
        <v>6.3848481790000008E-2</v>
      </c>
      <c r="O70" s="526">
        <f t="shared" ca="1" si="75"/>
        <v>0</v>
      </c>
      <c r="P70" s="237"/>
      <c r="Q70" s="478"/>
      <c r="R70" s="524">
        <f t="shared" ca="1" si="69"/>
        <v>6.3848481790000008E-2</v>
      </c>
      <c r="S70" s="526">
        <f t="shared" ca="1" si="70"/>
        <v>6.3848481790000008E-2</v>
      </c>
      <c r="T70" s="526">
        <f t="shared" ca="1" si="76"/>
        <v>0</v>
      </c>
      <c r="U70" s="237"/>
      <c r="V70" s="478"/>
      <c r="W70" s="524">
        <f t="shared" ca="1" si="71"/>
        <v>6.3848481790000008E-2</v>
      </c>
    </row>
    <row r="71" spans="2:23" x14ac:dyDescent="0.25">
      <c r="B71" s="468">
        <f t="shared" si="72"/>
        <v>5</v>
      </c>
      <c r="C71" s="469" t="s">
        <v>770</v>
      </c>
      <c r="D71" s="524">
        <f t="shared" ca="1" si="64"/>
        <v>0.16357494918854998</v>
      </c>
      <c r="E71" s="526">
        <f t="shared" ca="1" si="73"/>
        <v>2.0659204605299998E-2</v>
      </c>
      <c r="F71" s="469"/>
      <c r="G71" s="478"/>
      <c r="H71" s="524">
        <f t="shared" ca="1" si="65"/>
        <v>0.18423415379384997</v>
      </c>
      <c r="I71" s="526">
        <f t="shared" ca="1" si="66"/>
        <v>0.18423415379384997</v>
      </c>
      <c r="J71" s="526">
        <f t="shared" ca="1" si="74"/>
        <v>2.0659204605299998E-2</v>
      </c>
      <c r="K71" s="237"/>
      <c r="L71" s="478"/>
      <c r="M71" s="524">
        <f t="shared" ca="1" si="67"/>
        <v>0.20489335839914996</v>
      </c>
      <c r="N71" s="526">
        <f t="shared" ca="1" si="68"/>
        <v>0.20489335839914996</v>
      </c>
      <c r="O71" s="526">
        <f t="shared" ca="1" si="75"/>
        <v>2.0659204605299998E-2</v>
      </c>
      <c r="P71" s="237"/>
      <c r="Q71" s="478"/>
      <c r="R71" s="524">
        <f t="shared" ca="1" si="69"/>
        <v>0.22555256300444995</v>
      </c>
      <c r="S71" s="526">
        <f t="shared" ca="1" si="70"/>
        <v>0.22555256300444995</v>
      </c>
      <c r="T71" s="526">
        <f t="shared" ca="1" si="76"/>
        <v>2.0659204605299998E-2</v>
      </c>
      <c r="U71" s="237"/>
      <c r="V71" s="478"/>
      <c r="W71" s="524">
        <f t="shared" ca="1" si="71"/>
        <v>0.24621176760974994</v>
      </c>
    </row>
    <row r="72" spans="2:23" x14ac:dyDescent="0.25">
      <c r="B72" s="468">
        <f t="shared" si="72"/>
        <v>6</v>
      </c>
      <c r="C72" s="469" t="s">
        <v>266</v>
      </c>
      <c r="D72" s="524">
        <f t="shared" ca="1" si="64"/>
        <v>0.34595120087569997</v>
      </c>
      <c r="E72" s="526">
        <f t="shared" ca="1" si="73"/>
        <v>9.8843200250199992E-2</v>
      </c>
      <c r="F72" s="469"/>
      <c r="G72" s="478"/>
      <c r="H72" s="524">
        <f t="shared" ca="1" si="65"/>
        <v>0.44479440112589996</v>
      </c>
      <c r="I72" s="526">
        <f t="shared" ca="1" si="66"/>
        <v>0.44479440112589996</v>
      </c>
      <c r="J72" s="526">
        <f t="shared" ca="1" si="74"/>
        <v>9.8843200250199992E-2</v>
      </c>
      <c r="K72" s="237"/>
      <c r="L72" s="478"/>
      <c r="M72" s="524">
        <f t="shared" ca="1" si="67"/>
        <v>0.54363760137609995</v>
      </c>
      <c r="N72" s="526">
        <f t="shared" ca="1" si="68"/>
        <v>0.54363760137609995</v>
      </c>
      <c r="O72" s="526">
        <f t="shared" ca="1" si="75"/>
        <v>9.8843200250199992E-2</v>
      </c>
      <c r="P72" s="237"/>
      <c r="Q72" s="478"/>
      <c r="R72" s="524">
        <f t="shared" ca="1" si="69"/>
        <v>0.64248080162629995</v>
      </c>
      <c r="S72" s="526">
        <f t="shared" ca="1" si="70"/>
        <v>0.64248080162629995</v>
      </c>
      <c r="T72" s="526">
        <f t="shared" ca="1" si="76"/>
        <v>9.8843200250199992E-2</v>
      </c>
      <c r="U72" s="237"/>
      <c r="V72" s="478"/>
      <c r="W72" s="524">
        <f t="shared" ca="1" si="71"/>
        <v>0.74132400187649994</v>
      </c>
    </row>
    <row r="73" spans="2:23" x14ac:dyDescent="0.25">
      <c r="B73" s="468"/>
      <c r="C73" s="469"/>
      <c r="D73" s="470"/>
      <c r="E73" s="470"/>
      <c r="F73" s="470"/>
      <c r="G73" s="478"/>
      <c r="H73" s="470"/>
      <c r="I73" s="237"/>
      <c r="J73" s="471"/>
      <c r="K73" s="471"/>
      <c r="L73" s="478"/>
      <c r="M73" s="237"/>
      <c r="N73" s="237"/>
      <c r="O73" s="471"/>
      <c r="P73" s="471"/>
      <c r="Q73" s="478"/>
      <c r="R73" s="237"/>
      <c r="S73" s="237"/>
      <c r="T73" s="471"/>
      <c r="U73" s="471"/>
      <c r="V73" s="478"/>
      <c r="W73" s="237"/>
    </row>
    <row r="74" spans="2:23" ht="16.8" x14ac:dyDescent="0.25">
      <c r="B74" s="472"/>
      <c r="C74" s="473" t="s">
        <v>180</v>
      </c>
      <c r="D74" s="525">
        <f ca="1">SUM(D66:D72)</f>
        <v>399.37835546913936</v>
      </c>
      <c r="E74" s="525">
        <f t="shared" ref="E74" ca="1" si="77">SUM(E66:E72)</f>
        <v>7.7045590981596188</v>
      </c>
      <c r="F74" s="525">
        <f t="shared" ref="F74" si="78">SUM(F66:F72)</f>
        <v>0</v>
      </c>
      <c r="G74" s="525">
        <f t="shared" ref="G74" si="79">SUM(G66:G72)</f>
        <v>0</v>
      </c>
      <c r="H74" s="525">
        <f t="shared" ref="H74" ca="1" si="80">SUM(H66:H72)</f>
        <v>407.08291456729904</v>
      </c>
      <c r="I74" s="525">
        <f t="shared" ref="I74" ca="1" si="81">SUM(I66:I72)</f>
        <v>407.08291456729904</v>
      </c>
      <c r="J74" s="525">
        <f t="shared" ref="J74" ca="1" si="82">SUM(J66:J72)</f>
        <v>7.7018945531796188</v>
      </c>
      <c r="K74" s="525">
        <f t="shared" ref="K74" si="83">SUM(K66:K72)</f>
        <v>0</v>
      </c>
      <c r="L74" s="525">
        <f t="shared" ref="L74" si="84">SUM(L66:L72)</f>
        <v>0</v>
      </c>
      <c r="M74" s="525">
        <f t="shared" ref="M74" ca="1" si="85">SUM(M66:M72)</f>
        <v>414.78480912047866</v>
      </c>
      <c r="N74" s="525">
        <f t="shared" ref="N74" ca="1" si="86">SUM(N66:N72)</f>
        <v>414.78480912047866</v>
      </c>
      <c r="O74" s="525">
        <f t="shared" ref="O74" ca="1" si="87">SUM(O66:O72)</f>
        <v>7.7018945531796188</v>
      </c>
      <c r="P74" s="525">
        <f t="shared" ref="P74" si="88">SUM(P66:P72)</f>
        <v>0</v>
      </c>
      <c r="Q74" s="525">
        <f t="shared" ref="Q74" si="89">SUM(Q66:Q72)</f>
        <v>0</v>
      </c>
      <c r="R74" s="525">
        <f t="shared" ref="R74" ca="1" si="90">SUM(R66:R72)</f>
        <v>422.48670367365827</v>
      </c>
      <c r="S74" s="525">
        <f t="shared" ref="S74" ca="1" si="91">SUM(S66:S72)</f>
        <v>422.48670367365827</v>
      </c>
      <c r="T74" s="525">
        <f t="shared" ref="T74" ca="1" si="92">SUM(T66:T72)</f>
        <v>7.7018945531796188</v>
      </c>
      <c r="U74" s="525">
        <f t="shared" ref="U74" si="93">SUM(U66:U72)</f>
        <v>0</v>
      </c>
      <c r="V74" s="525">
        <f t="shared" ref="V74" si="94">SUM(V66:V72)</f>
        <v>0</v>
      </c>
      <c r="W74" s="525">
        <f t="shared" ref="W74" ca="1" si="95">SUM(W66:W72)</f>
        <v>430.18859822683788</v>
      </c>
    </row>
    <row r="75" spans="2:23" ht="16.8" x14ac:dyDescent="0.25">
      <c r="B75" s="474"/>
      <c r="C75" s="475"/>
      <c r="D75" s="475"/>
      <c r="E75" s="475"/>
      <c r="F75" s="475"/>
      <c r="G75" s="475"/>
      <c r="H75" s="475"/>
      <c r="I75" s="474"/>
      <c r="J75" s="474"/>
      <c r="K75" s="474"/>
      <c r="L75" s="474"/>
      <c r="M75" s="474"/>
      <c r="N75" s="474"/>
      <c r="O75" s="474"/>
      <c r="P75" s="474"/>
      <c r="Q75" s="474"/>
      <c r="R75" s="474"/>
      <c r="S75" s="474"/>
      <c r="T75" s="474"/>
      <c r="U75" s="474"/>
      <c r="V75" s="474"/>
      <c r="W75" s="474"/>
    </row>
    <row r="77" spans="2:23" x14ac:dyDescent="0.25">
      <c r="B77" s="282" t="s">
        <v>397</v>
      </c>
    </row>
    <row r="78" spans="2:23" x14ac:dyDescent="0.25">
      <c r="B78" s="282"/>
    </row>
    <row r="79" spans="2:23" x14ac:dyDescent="0.25">
      <c r="J79" s="457"/>
      <c r="M79" s="457"/>
      <c r="N79" s="457"/>
      <c r="R79" s="1"/>
      <c r="W79" s="234" t="s">
        <v>73</v>
      </c>
    </row>
    <row r="80" spans="2:23" ht="32.25" customHeight="1" x14ac:dyDescent="0.25">
      <c r="B80" s="1080" t="s">
        <v>1</v>
      </c>
      <c r="C80" s="1080" t="s">
        <v>74</v>
      </c>
      <c r="D80" s="1080" t="s">
        <v>75</v>
      </c>
      <c r="E80" s="1080"/>
      <c r="F80" s="1080"/>
      <c r="G80" s="1080"/>
      <c r="H80" s="1080"/>
      <c r="I80" s="1080" t="s">
        <v>76</v>
      </c>
      <c r="J80" s="1080"/>
      <c r="K80" s="1080"/>
      <c r="L80" s="1080"/>
      <c r="M80" s="1080"/>
      <c r="N80" s="1080" t="s">
        <v>77</v>
      </c>
      <c r="O80" s="1080"/>
      <c r="P80" s="1080"/>
      <c r="Q80" s="1080"/>
      <c r="R80" s="1080"/>
      <c r="S80" s="1080" t="s">
        <v>87</v>
      </c>
      <c r="T80" s="1080"/>
      <c r="U80" s="1080"/>
      <c r="V80" s="1080"/>
      <c r="W80" s="1080"/>
    </row>
    <row r="81" spans="2:38" ht="15" customHeight="1" x14ac:dyDescent="0.25">
      <c r="B81" s="1080"/>
      <c r="C81" s="1080"/>
      <c r="D81" s="1080" t="s">
        <v>134</v>
      </c>
      <c r="E81" s="1101"/>
      <c r="F81" s="1101"/>
      <c r="G81" s="1101"/>
      <c r="H81" s="1101"/>
      <c r="I81" s="1080" t="s">
        <v>134</v>
      </c>
      <c r="J81" s="1101"/>
      <c r="K81" s="1101"/>
      <c r="L81" s="1101"/>
      <c r="M81" s="1101"/>
      <c r="N81" s="1080" t="s">
        <v>135</v>
      </c>
      <c r="O81" s="1101"/>
      <c r="P81" s="1101"/>
      <c r="Q81" s="1101"/>
      <c r="R81" s="1101"/>
      <c r="S81" s="1080" t="s">
        <v>103</v>
      </c>
      <c r="T81" s="1101"/>
      <c r="U81" s="1101"/>
      <c r="V81" s="1101"/>
      <c r="W81" s="1101"/>
    </row>
    <row r="82" spans="2:38" ht="41.4" x14ac:dyDescent="0.25">
      <c r="B82" s="1080"/>
      <c r="C82" s="1080"/>
      <c r="D82" s="424" t="s">
        <v>360</v>
      </c>
      <c r="E82" s="424" t="s">
        <v>361</v>
      </c>
      <c r="F82" s="426" t="s">
        <v>393</v>
      </c>
      <c r="G82" s="424" t="s">
        <v>401</v>
      </c>
      <c r="H82" s="424" t="s">
        <v>363</v>
      </c>
      <c r="I82" s="424" t="s">
        <v>360</v>
      </c>
      <c r="J82" s="424" t="s">
        <v>361</v>
      </c>
      <c r="K82" s="426" t="s">
        <v>393</v>
      </c>
      <c r="L82" s="424" t="s">
        <v>401</v>
      </c>
      <c r="M82" s="424" t="s">
        <v>363</v>
      </c>
      <c r="N82" s="424" t="s">
        <v>360</v>
      </c>
      <c r="O82" s="424" t="s">
        <v>361</v>
      </c>
      <c r="P82" s="426" t="s">
        <v>393</v>
      </c>
      <c r="Q82" s="424" t="s">
        <v>401</v>
      </c>
      <c r="R82" s="424" t="s">
        <v>363</v>
      </c>
      <c r="S82" s="424" t="s">
        <v>360</v>
      </c>
      <c r="T82" s="424" t="s">
        <v>361</v>
      </c>
      <c r="U82" s="426" t="s">
        <v>393</v>
      </c>
      <c r="V82" s="424" t="s">
        <v>401</v>
      </c>
      <c r="W82" s="424" t="s">
        <v>363</v>
      </c>
    </row>
    <row r="83" spans="2:38" ht="27.6" x14ac:dyDescent="0.25">
      <c r="B83" s="418"/>
      <c r="C83" s="418"/>
      <c r="D83" s="494" t="s">
        <v>92</v>
      </c>
      <c r="E83" s="494" t="s">
        <v>93</v>
      </c>
      <c r="F83" s="494" t="s">
        <v>191</v>
      </c>
      <c r="G83" s="494" t="s">
        <v>95</v>
      </c>
      <c r="H83" s="494" t="s">
        <v>402</v>
      </c>
      <c r="I83" s="494" t="s">
        <v>96</v>
      </c>
      <c r="J83" s="494" t="s">
        <v>365</v>
      </c>
      <c r="K83" s="494" t="s">
        <v>98</v>
      </c>
      <c r="L83" s="494" t="s">
        <v>99</v>
      </c>
      <c r="M83" s="494" t="s">
        <v>403</v>
      </c>
      <c r="N83" s="494" t="s">
        <v>367</v>
      </c>
      <c r="O83" s="494" t="s">
        <v>369</v>
      </c>
      <c r="P83" s="494" t="s">
        <v>370</v>
      </c>
      <c r="Q83" s="494" t="s">
        <v>371</v>
      </c>
      <c r="R83" s="494" t="s">
        <v>404</v>
      </c>
      <c r="S83" s="494" t="s">
        <v>374</v>
      </c>
      <c r="T83" s="494" t="s">
        <v>375</v>
      </c>
      <c r="U83" s="494" t="s">
        <v>376</v>
      </c>
      <c r="V83" s="494" t="s">
        <v>378</v>
      </c>
      <c r="W83" s="494" t="s">
        <v>405</v>
      </c>
    </row>
    <row r="84" spans="2:38" x14ac:dyDescent="0.25">
      <c r="B84" s="468">
        <v>1</v>
      </c>
      <c r="C84" s="469" t="s">
        <v>732</v>
      </c>
      <c r="D84" s="524">
        <f>+D16-D50</f>
        <v>0</v>
      </c>
      <c r="E84" s="524">
        <f t="shared" ref="E84:W89" si="96">+E16-E50</f>
        <v>0.69781309999999996</v>
      </c>
      <c r="F84" s="524">
        <f t="shared" si="96"/>
        <v>0</v>
      </c>
      <c r="G84" s="524">
        <f t="shared" si="96"/>
        <v>0</v>
      </c>
      <c r="H84" s="524">
        <f t="shared" si="96"/>
        <v>0.69781309999999996</v>
      </c>
      <c r="I84" s="524">
        <f t="shared" si="96"/>
        <v>0.69781309999999996</v>
      </c>
      <c r="J84" s="524">
        <f t="shared" si="96"/>
        <v>0</v>
      </c>
      <c r="K84" s="524">
        <f t="shared" si="96"/>
        <v>0</v>
      </c>
      <c r="L84" s="524">
        <f t="shared" si="96"/>
        <v>0</v>
      </c>
      <c r="M84" s="524">
        <f t="shared" si="96"/>
        <v>0.69781309999999996</v>
      </c>
      <c r="N84" s="524">
        <f t="shared" si="96"/>
        <v>0.69781309999999996</v>
      </c>
      <c r="O84" s="524">
        <f t="shared" si="96"/>
        <v>0</v>
      </c>
      <c r="P84" s="524">
        <f t="shared" si="96"/>
        <v>0</v>
      </c>
      <c r="Q84" s="524">
        <f t="shared" si="96"/>
        <v>0</v>
      </c>
      <c r="R84" s="524">
        <f t="shared" si="96"/>
        <v>0.69781309999999996</v>
      </c>
      <c r="S84" s="524">
        <f t="shared" si="96"/>
        <v>0.69781309999999996</v>
      </c>
      <c r="T84" s="524">
        <f t="shared" si="96"/>
        <v>0</v>
      </c>
      <c r="U84" s="524">
        <f t="shared" si="96"/>
        <v>0</v>
      </c>
      <c r="V84" s="524">
        <f t="shared" si="96"/>
        <v>0</v>
      </c>
      <c r="W84" s="524">
        <f t="shared" si="96"/>
        <v>0.69781309999999996</v>
      </c>
    </row>
    <row r="85" spans="2:38" x14ac:dyDescent="0.25">
      <c r="B85" s="468">
        <f>+B84+1</f>
        <v>2</v>
      </c>
      <c r="C85" s="469" t="s">
        <v>265</v>
      </c>
      <c r="D85" s="524">
        <f t="shared" ref="D85:S89" si="97">+D17-D51</f>
        <v>247.78916846312006</v>
      </c>
      <c r="E85" s="524">
        <f t="shared" si="97"/>
        <v>-28.072330214015206</v>
      </c>
      <c r="F85" s="524">
        <f t="shared" si="97"/>
        <v>0</v>
      </c>
      <c r="G85" s="524">
        <f t="shared" si="97"/>
        <v>0</v>
      </c>
      <c r="H85" s="524">
        <f t="shared" si="97"/>
        <v>219.7168382491048</v>
      </c>
      <c r="I85" s="524">
        <f t="shared" si="97"/>
        <v>219.7168382491048</v>
      </c>
      <c r="J85" s="524">
        <f t="shared" si="97"/>
        <v>-29.158353451775202</v>
      </c>
      <c r="K85" s="524">
        <f t="shared" si="97"/>
        <v>0</v>
      </c>
      <c r="L85" s="524">
        <f t="shared" si="97"/>
        <v>0</v>
      </c>
      <c r="M85" s="524">
        <f t="shared" si="97"/>
        <v>190.55848479732958</v>
      </c>
      <c r="N85" s="524">
        <f t="shared" si="97"/>
        <v>190.55848479732958</v>
      </c>
      <c r="O85" s="524">
        <f t="shared" si="97"/>
        <v>-28.586799190560004</v>
      </c>
      <c r="P85" s="524">
        <f t="shared" si="97"/>
        <v>0</v>
      </c>
      <c r="Q85" s="524">
        <f t="shared" si="97"/>
        <v>0</v>
      </c>
      <c r="R85" s="524">
        <f t="shared" si="97"/>
        <v>161.9716856067696</v>
      </c>
      <c r="S85" s="524">
        <f t="shared" si="97"/>
        <v>161.9716856067696</v>
      </c>
      <c r="T85" s="524">
        <f t="shared" ca="1" si="96"/>
        <v>-7.5420039231818192</v>
      </c>
      <c r="U85" s="524">
        <f t="shared" si="96"/>
        <v>0</v>
      </c>
      <c r="V85" s="524">
        <f t="shared" si="96"/>
        <v>0</v>
      </c>
      <c r="W85" s="524">
        <f t="shared" ca="1" si="96"/>
        <v>154.42968168358777</v>
      </c>
    </row>
    <row r="86" spans="2:38" x14ac:dyDescent="0.25">
      <c r="B86" s="468">
        <f t="shared" ref="B86:B89" si="98">+B85+1</f>
        <v>3</v>
      </c>
      <c r="C86" s="238" t="s">
        <v>272</v>
      </c>
      <c r="D86" s="524">
        <f t="shared" si="97"/>
        <v>0.12738015162000002</v>
      </c>
      <c r="E86" s="524">
        <f t="shared" si="96"/>
        <v>4.4847352142499998E-2</v>
      </c>
      <c r="F86" s="524">
        <f t="shared" si="96"/>
        <v>0</v>
      </c>
      <c r="G86" s="524">
        <f t="shared" si="96"/>
        <v>0</v>
      </c>
      <c r="H86" s="524">
        <f t="shared" si="96"/>
        <v>0.17222750376250001</v>
      </c>
      <c r="I86" s="524">
        <f t="shared" si="96"/>
        <v>0.17222750376250001</v>
      </c>
      <c r="J86" s="524">
        <f t="shared" si="96"/>
        <v>0.38577566866925</v>
      </c>
      <c r="K86" s="524">
        <f t="shared" si="96"/>
        <v>-3.7785430000000005E-3</v>
      </c>
      <c r="L86" s="524">
        <f t="shared" si="96"/>
        <v>0</v>
      </c>
      <c r="M86" s="524">
        <f t="shared" si="96"/>
        <v>0.56178171543174993</v>
      </c>
      <c r="N86" s="524">
        <f t="shared" si="96"/>
        <v>0.56178171543174993</v>
      </c>
      <c r="O86" s="524">
        <f t="shared" si="96"/>
        <v>-4.0388225142299998E-2</v>
      </c>
      <c r="P86" s="524">
        <f t="shared" si="96"/>
        <v>0</v>
      </c>
      <c r="Q86" s="524">
        <f t="shared" si="96"/>
        <v>0</v>
      </c>
      <c r="R86" s="524">
        <f t="shared" si="96"/>
        <v>0.52139349028944992</v>
      </c>
      <c r="S86" s="524">
        <f t="shared" si="96"/>
        <v>0.52139349028944992</v>
      </c>
      <c r="T86" s="524">
        <f t="shared" ca="1" si="96"/>
        <v>-4.0388225142299998E-2</v>
      </c>
      <c r="U86" s="524">
        <f t="shared" si="96"/>
        <v>0</v>
      </c>
      <c r="V86" s="524">
        <f t="shared" si="96"/>
        <v>0</v>
      </c>
      <c r="W86" s="524">
        <f t="shared" ca="1" si="96"/>
        <v>0.48100526514714997</v>
      </c>
    </row>
    <row r="87" spans="2:38" x14ac:dyDescent="0.25">
      <c r="B87" s="468">
        <f t="shared" si="98"/>
        <v>4</v>
      </c>
      <c r="C87" s="469" t="s">
        <v>769</v>
      </c>
      <c r="D87" s="524">
        <f t="shared" si="97"/>
        <v>8.3967665000000032E-3</v>
      </c>
      <c r="E87" s="524">
        <f t="shared" si="96"/>
        <v>6.3977005500000014E-3</v>
      </c>
      <c r="F87" s="524">
        <f t="shared" si="96"/>
        <v>-5.8401000000000026E-4</v>
      </c>
      <c r="G87" s="524">
        <f t="shared" si="96"/>
        <v>0</v>
      </c>
      <c r="H87" s="524">
        <f t="shared" si="96"/>
        <v>1.5378477050000006E-2</v>
      </c>
      <c r="I87" s="524">
        <f t="shared" si="96"/>
        <v>1.5378477050000006E-2</v>
      </c>
      <c r="J87" s="524">
        <f t="shared" si="96"/>
        <v>2.7673442020000001E-2</v>
      </c>
      <c r="K87" s="524">
        <f t="shared" si="96"/>
        <v>-5.6958000000000009E-4</v>
      </c>
      <c r="L87" s="524">
        <f t="shared" si="96"/>
        <v>0</v>
      </c>
      <c r="M87" s="524">
        <f t="shared" si="96"/>
        <v>4.362149907E-2</v>
      </c>
      <c r="N87" s="524">
        <f t="shared" si="96"/>
        <v>4.362149907E-2</v>
      </c>
      <c r="O87" s="524">
        <f t="shared" si="96"/>
        <v>-1.3322724900000001E-2</v>
      </c>
      <c r="P87" s="524">
        <f t="shared" si="96"/>
        <v>0</v>
      </c>
      <c r="Q87" s="524">
        <f t="shared" si="96"/>
        <v>0</v>
      </c>
      <c r="R87" s="524">
        <f t="shared" si="96"/>
        <v>3.0298774170000001E-2</v>
      </c>
      <c r="S87" s="524">
        <f t="shared" si="96"/>
        <v>3.0298774170000001E-2</v>
      </c>
      <c r="T87" s="524">
        <f t="shared" ca="1" si="96"/>
        <v>-2.66454498E-3</v>
      </c>
      <c r="U87" s="524">
        <f t="shared" si="96"/>
        <v>0</v>
      </c>
      <c r="V87" s="524">
        <f t="shared" si="96"/>
        <v>0</v>
      </c>
      <c r="W87" s="524">
        <f t="shared" ca="1" si="96"/>
        <v>2.7634229189999998E-2</v>
      </c>
    </row>
    <row r="88" spans="2:38" x14ac:dyDescent="0.25">
      <c r="B88" s="468">
        <f t="shared" si="98"/>
        <v>5</v>
      </c>
      <c r="C88" s="469" t="s">
        <v>770</v>
      </c>
      <c r="D88" s="524">
        <f t="shared" si="97"/>
        <v>5.4903680600000004E-2</v>
      </c>
      <c r="E88" s="524">
        <f t="shared" si="96"/>
        <v>0.16815407841735</v>
      </c>
      <c r="F88" s="524">
        <f t="shared" si="96"/>
        <v>0</v>
      </c>
      <c r="G88" s="524">
        <f t="shared" si="96"/>
        <v>0</v>
      </c>
      <c r="H88" s="524">
        <f t="shared" si="96"/>
        <v>0.22305775901735</v>
      </c>
      <c r="I88" s="524">
        <f t="shared" si="96"/>
        <v>0.22305775901735</v>
      </c>
      <c r="J88" s="524">
        <f t="shared" si="96"/>
        <v>-1.9650727995299998E-2</v>
      </c>
      <c r="K88" s="524">
        <f t="shared" si="96"/>
        <v>-7.0617000000000076E-4</v>
      </c>
      <c r="L88" s="524">
        <f t="shared" si="96"/>
        <v>0</v>
      </c>
      <c r="M88" s="524">
        <f t="shared" si="96"/>
        <v>0.20411320102204999</v>
      </c>
      <c r="N88" s="524">
        <f t="shared" si="96"/>
        <v>0.20411320102204999</v>
      </c>
      <c r="O88" s="524">
        <f t="shared" si="96"/>
        <v>-2.0659204605299998E-2</v>
      </c>
      <c r="P88" s="524">
        <f t="shared" si="96"/>
        <v>0</v>
      </c>
      <c r="Q88" s="524">
        <f t="shared" si="96"/>
        <v>0</v>
      </c>
      <c r="R88" s="524">
        <f t="shared" si="96"/>
        <v>0.18345399641675</v>
      </c>
      <c r="S88" s="524">
        <f t="shared" si="96"/>
        <v>0.18345399641675</v>
      </c>
      <c r="T88" s="524">
        <f t="shared" ca="1" si="96"/>
        <v>-2.0659204605299998E-2</v>
      </c>
      <c r="U88" s="524">
        <f t="shared" si="96"/>
        <v>0</v>
      </c>
      <c r="V88" s="524">
        <f t="shared" si="96"/>
        <v>0</v>
      </c>
      <c r="W88" s="524">
        <f t="shared" ca="1" si="96"/>
        <v>0.16279479181145001</v>
      </c>
    </row>
    <row r="89" spans="2:38" x14ac:dyDescent="0.25">
      <c r="B89" s="468">
        <f t="shared" si="98"/>
        <v>6</v>
      </c>
      <c r="C89" s="469" t="s">
        <v>266</v>
      </c>
      <c r="D89" s="524">
        <f t="shared" si="97"/>
        <v>0</v>
      </c>
      <c r="E89" s="524">
        <f t="shared" si="96"/>
        <v>2.9099556528749</v>
      </c>
      <c r="F89" s="524">
        <f t="shared" si="96"/>
        <v>0</v>
      </c>
      <c r="G89" s="524">
        <f t="shared" si="96"/>
        <v>0</v>
      </c>
      <c r="H89" s="524">
        <f t="shared" si="96"/>
        <v>2.9099556528749</v>
      </c>
      <c r="I89" s="524">
        <f t="shared" si="96"/>
        <v>2.9099556528749</v>
      </c>
      <c r="J89" s="524">
        <f t="shared" si="96"/>
        <v>-9.8843200250199992E-2</v>
      </c>
      <c r="K89" s="524">
        <f t="shared" si="96"/>
        <v>0</v>
      </c>
      <c r="L89" s="524">
        <f t="shared" si="96"/>
        <v>0</v>
      </c>
      <c r="M89" s="524">
        <f t="shared" si="96"/>
        <v>2.8111124526247</v>
      </c>
      <c r="N89" s="524">
        <f t="shared" si="96"/>
        <v>2.8111124526247</v>
      </c>
      <c r="O89" s="524">
        <f t="shared" si="96"/>
        <v>-9.8843200250199992E-2</v>
      </c>
      <c r="P89" s="524">
        <f t="shared" si="96"/>
        <v>0</v>
      </c>
      <c r="Q89" s="524">
        <f t="shared" si="96"/>
        <v>0</v>
      </c>
      <c r="R89" s="524">
        <f t="shared" si="96"/>
        <v>2.7122692523745</v>
      </c>
      <c r="S89" s="524">
        <f t="shared" si="96"/>
        <v>2.7122692523745</v>
      </c>
      <c r="T89" s="524">
        <f t="shared" ca="1" si="96"/>
        <v>-9.8843200250199992E-2</v>
      </c>
      <c r="U89" s="524">
        <f t="shared" si="96"/>
        <v>0</v>
      </c>
      <c r="V89" s="524">
        <f t="shared" si="96"/>
        <v>0</v>
      </c>
      <c r="W89" s="524">
        <f t="shared" ca="1" si="96"/>
        <v>2.6134260521243</v>
      </c>
    </row>
    <row r="90" spans="2:38" x14ac:dyDescent="0.25">
      <c r="B90" s="468"/>
      <c r="C90" s="469"/>
      <c r="D90" s="470"/>
      <c r="E90" s="470"/>
      <c r="F90" s="470"/>
      <c r="G90" s="478"/>
      <c r="H90" s="470"/>
      <c r="I90" s="237"/>
      <c r="J90" s="471"/>
      <c r="K90" s="471"/>
      <c r="L90" s="478"/>
      <c r="M90" s="237"/>
      <c r="N90" s="237"/>
      <c r="O90" s="471"/>
      <c r="P90" s="471"/>
      <c r="Q90" s="478"/>
      <c r="R90" s="237"/>
      <c r="S90" s="237"/>
      <c r="T90" s="237"/>
      <c r="U90" s="237"/>
      <c r="V90" s="478"/>
      <c r="W90" s="237"/>
    </row>
    <row r="91" spans="2:38" ht="16.8" x14ac:dyDescent="0.25">
      <c r="B91" s="472"/>
      <c r="C91" s="473" t="s">
        <v>180</v>
      </c>
      <c r="D91" s="525">
        <f>SUM(D83:D89)</f>
        <v>247.97984906184007</v>
      </c>
      <c r="E91" s="525">
        <f t="shared" ref="E91" si="99">SUM(E83:E89)</f>
        <v>-24.245162330030457</v>
      </c>
      <c r="F91" s="525">
        <f t="shared" ref="F91" si="100">SUM(F83:F89)</f>
        <v>-5.8401000000000026E-4</v>
      </c>
      <c r="G91" s="525">
        <f t="shared" ref="G91" si="101">SUM(G83:G89)</f>
        <v>0</v>
      </c>
      <c r="H91" s="525">
        <f t="shared" ref="H91" si="102">SUM(H83:H89)</f>
        <v>223.73527074180956</v>
      </c>
      <c r="I91" s="525">
        <f t="shared" ref="I91" si="103">SUM(I83:I89)</f>
        <v>223.73527074180956</v>
      </c>
      <c r="J91" s="525">
        <f t="shared" ref="J91" si="104">SUM(J83:J89)</f>
        <v>-28.863398269331455</v>
      </c>
      <c r="K91" s="525">
        <f t="shared" ref="K91" si="105">SUM(K83:K89)</f>
        <v>-5.0542930000000014E-3</v>
      </c>
      <c r="L91" s="525">
        <f t="shared" ref="L91" si="106">SUM(L83:L89)</f>
        <v>0</v>
      </c>
      <c r="M91" s="525">
        <f t="shared" ref="M91" si="107">SUM(M83:M89)</f>
        <v>194.87692676547809</v>
      </c>
      <c r="N91" s="525">
        <f t="shared" ref="N91" si="108">SUM(N83:N89)</f>
        <v>194.87692676547809</v>
      </c>
      <c r="O91" s="525">
        <f t="shared" ref="O91" si="109">SUM(O83:O89)</f>
        <v>-28.760012545457805</v>
      </c>
      <c r="P91" s="525">
        <f t="shared" ref="P91" si="110">SUM(P83:P89)</f>
        <v>0</v>
      </c>
      <c r="Q91" s="525">
        <f t="shared" ref="Q91" si="111">SUM(Q83:Q89)</f>
        <v>0</v>
      </c>
      <c r="R91" s="525">
        <f t="shared" ref="R91" si="112">SUM(R83:R89)</f>
        <v>166.11691422002031</v>
      </c>
      <c r="S91" s="525">
        <f t="shared" ref="S91" si="113">SUM(S83:S89)</f>
        <v>166.11691422002031</v>
      </c>
      <c r="T91" s="525">
        <f t="shared" ref="T91" ca="1" si="114">SUM(T83:T89)</f>
        <v>-7.7045590981596188</v>
      </c>
      <c r="U91" s="525">
        <f t="shared" ref="U91" si="115">SUM(U83:U89)</f>
        <v>0</v>
      </c>
      <c r="V91" s="525">
        <f t="shared" ref="V91" si="116">SUM(V83:V89)</f>
        <v>0</v>
      </c>
      <c r="W91" s="525">
        <f t="shared" ref="W91" ca="1" si="117">SUM(W83:W89)</f>
        <v>158.41235512186068</v>
      </c>
    </row>
    <row r="92" spans="2:38" ht="16.8" x14ac:dyDescent="0.25">
      <c r="B92" s="474"/>
      <c r="C92" s="475"/>
      <c r="D92" s="475"/>
      <c r="E92" s="475"/>
      <c r="F92" s="475"/>
      <c r="G92" s="475"/>
      <c r="H92" s="475"/>
      <c r="I92" s="474"/>
      <c r="J92" s="474"/>
      <c r="K92" s="474"/>
      <c r="L92" s="474"/>
      <c r="M92" s="474"/>
      <c r="N92" s="474"/>
      <c r="O92" s="474"/>
      <c r="P92" s="474"/>
      <c r="Q92" s="474"/>
      <c r="R92" s="474"/>
      <c r="T92" s="476"/>
      <c r="U92" s="476"/>
      <c r="V92" s="476"/>
    </row>
    <row r="93" spans="2:38" ht="16.8" x14ac:dyDescent="0.25">
      <c r="B93" s="454" t="s">
        <v>398</v>
      </c>
      <c r="C93" s="455"/>
      <c r="D93" s="455"/>
      <c r="E93" s="455"/>
      <c r="F93" s="455"/>
      <c r="G93" s="475"/>
      <c r="H93" s="475"/>
      <c r="I93" s="474"/>
      <c r="J93" s="474"/>
      <c r="K93" s="474"/>
      <c r="L93" s="474"/>
      <c r="M93" s="474"/>
      <c r="N93" s="474"/>
      <c r="O93" s="474"/>
      <c r="P93" s="474"/>
      <c r="Q93" s="474"/>
      <c r="R93" s="474"/>
      <c r="T93" s="476"/>
      <c r="U93" s="476"/>
      <c r="V93" s="476"/>
    </row>
    <row r="94" spans="2:38" ht="16.8" x14ac:dyDescent="0.25">
      <c r="B94" s="474"/>
      <c r="C94" s="475"/>
      <c r="D94" s="475"/>
      <c r="E94" s="475"/>
      <c r="F94" s="475"/>
      <c r="G94" s="475"/>
      <c r="H94" s="475"/>
      <c r="I94" s="474"/>
      <c r="J94" s="474"/>
      <c r="K94" s="474"/>
      <c r="L94" s="474"/>
      <c r="M94" s="474"/>
      <c r="N94" s="474"/>
      <c r="O94" s="474"/>
      <c r="P94" s="474"/>
      <c r="Q94" s="474"/>
      <c r="R94" s="474"/>
      <c r="S94" s="474"/>
      <c r="T94" s="474"/>
      <c r="U94" s="474"/>
      <c r="V94" s="474"/>
      <c r="W94" s="474"/>
      <c r="X94" s="474"/>
      <c r="Y94" s="474"/>
      <c r="Z94" s="474"/>
      <c r="AA94" s="474"/>
      <c r="AB94" s="474"/>
      <c r="AC94" s="474"/>
      <c r="AD94" s="474"/>
      <c r="AE94" s="474"/>
      <c r="AF94" s="474"/>
      <c r="AG94" s="474"/>
      <c r="AH94" s="474"/>
      <c r="AI94" s="474"/>
      <c r="AJ94" s="474"/>
      <c r="AK94" s="474"/>
      <c r="AL94" s="474"/>
    </row>
    <row r="95" spans="2:38" ht="16.8" x14ac:dyDescent="0.25">
      <c r="B95" s="474"/>
      <c r="C95" s="475"/>
      <c r="D95" s="475"/>
      <c r="E95" s="475"/>
      <c r="F95" s="475"/>
      <c r="G95" s="475"/>
      <c r="H95" s="475"/>
      <c r="I95" s="474"/>
      <c r="J95" s="474"/>
      <c r="K95" s="474"/>
      <c r="L95" s="474"/>
      <c r="M95" s="474"/>
      <c r="N95" s="474"/>
      <c r="O95" s="474"/>
      <c r="P95" s="474"/>
      <c r="Q95" s="474"/>
      <c r="R95" s="474"/>
      <c r="S95" s="474"/>
      <c r="T95" s="474"/>
      <c r="U95" s="474"/>
      <c r="V95" s="474"/>
      <c r="W95" s="234" t="s">
        <v>73</v>
      </c>
      <c r="X95" s="474"/>
      <c r="Y95" s="474"/>
      <c r="Z95" s="474"/>
      <c r="AA95" s="474"/>
      <c r="AB95" s="474"/>
      <c r="AC95" s="474"/>
      <c r="AD95" s="474"/>
      <c r="AE95" s="474"/>
      <c r="AF95" s="474"/>
      <c r="AG95" s="474"/>
      <c r="AH95" s="474"/>
      <c r="AI95" s="474"/>
      <c r="AJ95" s="474"/>
      <c r="AK95" s="474"/>
      <c r="AL95" s="474"/>
    </row>
    <row r="96" spans="2:38" ht="15" customHeight="1" x14ac:dyDescent="0.25">
      <c r="B96" s="1080" t="s">
        <v>1</v>
      </c>
      <c r="C96" s="1080" t="s">
        <v>74</v>
      </c>
      <c r="D96" s="1080" t="s">
        <v>88</v>
      </c>
      <c r="E96" s="1080"/>
      <c r="F96" s="1080"/>
      <c r="G96" s="1080"/>
      <c r="H96" s="1080"/>
      <c r="I96" s="1080" t="s">
        <v>89</v>
      </c>
      <c r="J96" s="1080"/>
      <c r="K96" s="1080"/>
      <c r="L96" s="1080"/>
      <c r="M96" s="1080"/>
      <c r="N96" s="1080" t="s">
        <v>90</v>
      </c>
      <c r="O96" s="1080"/>
      <c r="P96" s="1080"/>
      <c r="Q96" s="1080"/>
      <c r="R96" s="1080"/>
      <c r="S96" s="1080" t="s">
        <v>91</v>
      </c>
      <c r="T96" s="1080"/>
      <c r="U96" s="1080"/>
      <c r="V96" s="1080"/>
      <c r="W96" s="1080"/>
    </row>
    <row r="97" spans="2:23" x14ac:dyDescent="0.25">
      <c r="B97" s="1080"/>
      <c r="C97" s="1080"/>
      <c r="D97" s="1095" t="s">
        <v>103</v>
      </c>
      <c r="E97" s="1100"/>
      <c r="F97" s="1100"/>
      <c r="G97" s="1100"/>
      <c r="H97" s="1100"/>
      <c r="I97" s="1095" t="s">
        <v>103</v>
      </c>
      <c r="J97" s="1100"/>
      <c r="K97" s="1100"/>
      <c r="L97" s="1100"/>
      <c r="M97" s="1100"/>
      <c r="N97" s="1095" t="s">
        <v>103</v>
      </c>
      <c r="O97" s="1100"/>
      <c r="P97" s="1100"/>
      <c r="Q97" s="1100"/>
      <c r="R97" s="1100"/>
      <c r="S97" s="1095" t="s">
        <v>103</v>
      </c>
      <c r="T97" s="1100"/>
      <c r="U97" s="1100"/>
      <c r="V97" s="1100"/>
      <c r="W97" s="1100"/>
    </row>
    <row r="98" spans="2:23" ht="41.4" x14ac:dyDescent="0.25">
      <c r="B98" s="1080"/>
      <c r="C98" s="1080"/>
      <c r="D98" s="424" t="s">
        <v>360</v>
      </c>
      <c r="E98" s="424" t="s">
        <v>361</v>
      </c>
      <c r="F98" s="426" t="s">
        <v>393</v>
      </c>
      <c r="G98" s="424" t="s">
        <v>401</v>
      </c>
      <c r="H98" s="424" t="s">
        <v>363</v>
      </c>
      <c r="I98" s="424" t="s">
        <v>360</v>
      </c>
      <c r="J98" s="424" t="s">
        <v>361</v>
      </c>
      <c r="K98" s="426" t="s">
        <v>393</v>
      </c>
      <c r="L98" s="424" t="s">
        <v>401</v>
      </c>
      <c r="M98" s="424" t="s">
        <v>363</v>
      </c>
      <c r="N98" s="424" t="s">
        <v>360</v>
      </c>
      <c r="O98" s="424" t="s">
        <v>361</v>
      </c>
      <c r="P98" s="426" t="s">
        <v>393</v>
      </c>
      <c r="Q98" s="424" t="s">
        <v>401</v>
      </c>
      <c r="R98" s="424" t="s">
        <v>363</v>
      </c>
      <c r="S98" s="424" t="s">
        <v>360</v>
      </c>
      <c r="T98" s="424" t="s">
        <v>361</v>
      </c>
      <c r="U98" s="426" t="s">
        <v>393</v>
      </c>
      <c r="V98" s="424" t="s">
        <v>401</v>
      </c>
      <c r="W98" s="424" t="s">
        <v>363</v>
      </c>
    </row>
    <row r="99" spans="2:23" ht="27.6" x14ac:dyDescent="0.25">
      <c r="B99" s="418"/>
      <c r="C99" s="418"/>
      <c r="D99" s="494" t="s">
        <v>379</v>
      </c>
      <c r="E99" s="494" t="s">
        <v>380</v>
      </c>
      <c r="F99" s="494" t="s">
        <v>382</v>
      </c>
      <c r="G99" s="494" t="s">
        <v>383</v>
      </c>
      <c r="H99" s="494" t="s">
        <v>406</v>
      </c>
      <c r="I99" s="494" t="s">
        <v>384</v>
      </c>
      <c r="J99" s="494" t="s">
        <v>386</v>
      </c>
      <c r="K99" s="494" t="s">
        <v>387</v>
      </c>
      <c r="L99" s="494" t="s">
        <v>388</v>
      </c>
      <c r="M99" s="494" t="s">
        <v>407</v>
      </c>
      <c r="N99" s="494" t="s">
        <v>408</v>
      </c>
      <c r="O99" s="494" t="s">
        <v>409</v>
      </c>
      <c r="P99" s="494" t="s">
        <v>410</v>
      </c>
      <c r="Q99" s="494" t="s">
        <v>411</v>
      </c>
      <c r="R99" s="494" t="s">
        <v>412</v>
      </c>
      <c r="S99" s="494" t="s">
        <v>413</v>
      </c>
      <c r="T99" s="494" t="s">
        <v>414</v>
      </c>
      <c r="U99" s="494" t="s">
        <v>415</v>
      </c>
      <c r="V99" s="494" t="s">
        <v>416</v>
      </c>
      <c r="W99" s="494" t="s">
        <v>417</v>
      </c>
    </row>
    <row r="100" spans="2:23" x14ac:dyDescent="0.25">
      <c r="B100" s="468">
        <v>1</v>
      </c>
      <c r="C100" s="469" t="s">
        <v>732</v>
      </c>
      <c r="D100" s="524">
        <f>+D32-D67</f>
        <v>0.69781309999999996</v>
      </c>
      <c r="E100" s="524">
        <f t="shared" ref="E100:W100" si="118">+E32-E67</f>
        <v>0</v>
      </c>
      <c r="F100" s="524">
        <f t="shared" si="118"/>
        <v>0</v>
      </c>
      <c r="G100" s="524">
        <f t="shared" si="118"/>
        <v>0</v>
      </c>
      <c r="H100" s="524">
        <f t="shared" si="118"/>
        <v>0.69781309999999996</v>
      </c>
      <c r="I100" s="524">
        <f t="shared" si="118"/>
        <v>0.69781309999999996</v>
      </c>
      <c r="J100" s="524">
        <f t="shared" si="118"/>
        <v>0</v>
      </c>
      <c r="K100" s="524">
        <f t="shared" si="118"/>
        <v>0</v>
      </c>
      <c r="L100" s="524">
        <f t="shared" si="118"/>
        <v>0</v>
      </c>
      <c r="M100" s="524">
        <f t="shared" si="118"/>
        <v>0.69781309999999996</v>
      </c>
      <c r="N100" s="524">
        <f t="shared" si="118"/>
        <v>0.69781309999999996</v>
      </c>
      <c r="O100" s="524">
        <f t="shared" si="118"/>
        <v>0</v>
      </c>
      <c r="P100" s="524">
        <f t="shared" si="118"/>
        <v>0</v>
      </c>
      <c r="Q100" s="524">
        <f t="shared" si="118"/>
        <v>0</v>
      </c>
      <c r="R100" s="524">
        <f t="shared" si="118"/>
        <v>0.69781309999999996</v>
      </c>
      <c r="S100" s="524">
        <f t="shared" si="118"/>
        <v>0.69781309999999996</v>
      </c>
      <c r="T100" s="524">
        <f t="shared" si="118"/>
        <v>0</v>
      </c>
      <c r="U100" s="524">
        <f t="shared" si="118"/>
        <v>0</v>
      </c>
      <c r="V100" s="524">
        <f t="shared" si="118"/>
        <v>0</v>
      </c>
      <c r="W100" s="524">
        <f t="shared" si="118"/>
        <v>0.69781309999999996</v>
      </c>
    </row>
    <row r="101" spans="2:23" x14ac:dyDescent="0.25">
      <c r="B101" s="468">
        <f>+B100+1</f>
        <v>2</v>
      </c>
      <c r="C101" s="469" t="s">
        <v>265</v>
      </c>
      <c r="D101" s="524">
        <f ca="1">+D33-D68</f>
        <v>154.42968168358777</v>
      </c>
      <c r="E101" s="524">
        <f t="shared" ref="E101:W101" ca="1" si="119">+E33-E68</f>
        <v>-7.5420039231818192</v>
      </c>
      <c r="F101" s="524">
        <f t="shared" si="119"/>
        <v>0</v>
      </c>
      <c r="G101" s="524">
        <f t="shared" si="119"/>
        <v>0</v>
      </c>
      <c r="H101" s="524">
        <f t="shared" ca="1" si="119"/>
        <v>146.88767776040595</v>
      </c>
      <c r="I101" s="524">
        <f t="shared" ca="1" si="119"/>
        <v>146.88767776040595</v>
      </c>
      <c r="J101" s="524">
        <f ca="1">+J33-J68</f>
        <v>-7.5420039231818192</v>
      </c>
      <c r="K101" s="524">
        <f t="shared" si="119"/>
        <v>0</v>
      </c>
      <c r="L101" s="524">
        <f t="shared" si="119"/>
        <v>0</v>
      </c>
      <c r="M101" s="524">
        <f t="shared" ca="1" si="119"/>
        <v>139.34567383722413</v>
      </c>
      <c r="N101" s="524">
        <f t="shared" ca="1" si="119"/>
        <v>139.34567383722413</v>
      </c>
      <c r="O101" s="524">
        <f t="shared" ca="1" si="119"/>
        <v>-7.5420039231818192</v>
      </c>
      <c r="P101" s="524">
        <f t="shared" si="119"/>
        <v>0</v>
      </c>
      <c r="Q101" s="524">
        <f t="shared" si="119"/>
        <v>0</v>
      </c>
      <c r="R101" s="524">
        <f t="shared" ca="1" si="119"/>
        <v>131.8036699140423</v>
      </c>
      <c r="S101" s="524">
        <f t="shared" ca="1" si="119"/>
        <v>131.8036699140423</v>
      </c>
      <c r="T101" s="524">
        <f t="shared" ca="1" si="119"/>
        <v>-7.5420039231818192</v>
      </c>
      <c r="U101" s="524">
        <f t="shared" si="119"/>
        <v>0</v>
      </c>
      <c r="V101" s="524">
        <f t="shared" si="119"/>
        <v>0</v>
      </c>
      <c r="W101" s="524">
        <f t="shared" ca="1" si="119"/>
        <v>124.26166599086048</v>
      </c>
    </row>
    <row r="102" spans="2:23" x14ac:dyDescent="0.25">
      <c r="B102" s="468">
        <f t="shared" ref="B102:B105" si="120">+B101+1</f>
        <v>3</v>
      </c>
      <c r="C102" s="238" t="s">
        <v>272</v>
      </c>
      <c r="D102" s="524">
        <f ca="1">+D34-D69</f>
        <v>0.48100526514714997</v>
      </c>
      <c r="E102" s="524">
        <f t="shared" ref="E102:W105" ca="1" si="121">+E34-E69</f>
        <v>-4.0388225142299998E-2</v>
      </c>
      <c r="F102" s="524">
        <f t="shared" si="121"/>
        <v>0</v>
      </c>
      <c r="G102" s="524">
        <f t="shared" si="121"/>
        <v>0</v>
      </c>
      <c r="H102" s="524">
        <f t="shared" ca="1" si="121"/>
        <v>0.44061704000484997</v>
      </c>
      <c r="I102" s="524">
        <f t="shared" ca="1" si="121"/>
        <v>0.44061704000484997</v>
      </c>
      <c r="J102" s="524">
        <f t="shared" ca="1" si="121"/>
        <v>-4.0388225142299998E-2</v>
      </c>
      <c r="K102" s="524">
        <f t="shared" si="121"/>
        <v>0</v>
      </c>
      <c r="L102" s="524">
        <f t="shared" si="121"/>
        <v>0</v>
      </c>
      <c r="M102" s="524">
        <f t="shared" ca="1" si="121"/>
        <v>0.40022881486254996</v>
      </c>
      <c r="N102" s="524">
        <f t="shared" ca="1" si="121"/>
        <v>0.40022881486254996</v>
      </c>
      <c r="O102" s="524">
        <f t="shared" ca="1" si="121"/>
        <v>-4.0388225142299998E-2</v>
      </c>
      <c r="P102" s="524">
        <f t="shared" si="121"/>
        <v>0</v>
      </c>
      <c r="Q102" s="524">
        <f t="shared" si="121"/>
        <v>0</v>
      </c>
      <c r="R102" s="524">
        <f t="shared" ca="1" si="121"/>
        <v>0.35984058972024996</v>
      </c>
      <c r="S102" s="524">
        <f t="shared" ca="1" si="121"/>
        <v>0.35984058972024996</v>
      </c>
      <c r="T102" s="524">
        <f t="shared" ca="1" si="121"/>
        <v>-4.0388225142299998E-2</v>
      </c>
      <c r="U102" s="524">
        <f t="shared" si="121"/>
        <v>0</v>
      </c>
      <c r="V102" s="524">
        <f t="shared" si="121"/>
        <v>0</v>
      </c>
      <c r="W102" s="524">
        <f t="shared" ca="1" si="121"/>
        <v>0.31945236457794995</v>
      </c>
    </row>
    <row r="103" spans="2:23" x14ac:dyDescent="0.25">
      <c r="B103" s="468">
        <f t="shared" si="120"/>
        <v>4</v>
      </c>
      <c r="C103" s="469" t="s">
        <v>769</v>
      </c>
      <c r="D103" s="524">
        <f t="shared" ref="D103:S105" ca="1" si="122">+D35-D70</f>
        <v>2.7634229189999998E-2</v>
      </c>
      <c r="E103" s="524">
        <f t="shared" ca="1" si="122"/>
        <v>-2.66454498E-3</v>
      </c>
      <c r="F103" s="524">
        <f t="shared" si="122"/>
        <v>0</v>
      </c>
      <c r="G103" s="524">
        <f t="shared" si="122"/>
        <v>0</v>
      </c>
      <c r="H103" s="524">
        <f t="shared" ca="1" si="122"/>
        <v>2.4969684209999995E-2</v>
      </c>
      <c r="I103" s="524">
        <f t="shared" ca="1" si="122"/>
        <v>2.4969684209999995E-2</v>
      </c>
      <c r="J103" s="524">
        <f t="shared" ca="1" si="122"/>
        <v>0</v>
      </c>
      <c r="K103" s="524">
        <f t="shared" si="122"/>
        <v>0</v>
      </c>
      <c r="L103" s="524">
        <f t="shared" si="122"/>
        <v>0</v>
      </c>
      <c r="M103" s="524">
        <f t="shared" ca="1" si="122"/>
        <v>2.4969684209999995E-2</v>
      </c>
      <c r="N103" s="524">
        <f t="shared" ca="1" si="122"/>
        <v>2.4969684209999995E-2</v>
      </c>
      <c r="O103" s="524">
        <f t="shared" ca="1" si="122"/>
        <v>0</v>
      </c>
      <c r="P103" s="524">
        <f t="shared" si="122"/>
        <v>0</v>
      </c>
      <c r="Q103" s="524">
        <f t="shared" si="122"/>
        <v>0</v>
      </c>
      <c r="R103" s="524">
        <f t="shared" ca="1" si="122"/>
        <v>2.4969684209999995E-2</v>
      </c>
      <c r="S103" s="524">
        <f t="shared" ca="1" si="122"/>
        <v>2.4969684209999995E-2</v>
      </c>
      <c r="T103" s="524">
        <f t="shared" ca="1" si="121"/>
        <v>0</v>
      </c>
      <c r="U103" s="524">
        <f t="shared" si="121"/>
        <v>0</v>
      </c>
      <c r="V103" s="524">
        <f t="shared" si="121"/>
        <v>0</v>
      </c>
      <c r="W103" s="524">
        <f t="shared" ca="1" si="121"/>
        <v>2.4969684209999995E-2</v>
      </c>
    </row>
    <row r="104" spans="2:23" x14ac:dyDescent="0.25">
      <c r="B104" s="468">
        <f t="shared" si="120"/>
        <v>5</v>
      </c>
      <c r="C104" s="469" t="s">
        <v>770</v>
      </c>
      <c r="D104" s="524">
        <f t="shared" ca="1" si="122"/>
        <v>0.16279479181145001</v>
      </c>
      <c r="E104" s="524">
        <f t="shared" ca="1" si="121"/>
        <v>-2.0659204605299998E-2</v>
      </c>
      <c r="F104" s="524">
        <f t="shared" si="121"/>
        <v>0</v>
      </c>
      <c r="G104" s="524">
        <f t="shared" si="121"/>
        <v>0</v>
      </c>
      <c r="H104" s="524">
        <f t="shared" ca="1" si="121"/>
        <v>0.14213558720615002</v>
      </c>
      <c r="I104" s="524">
        <f t="shared" ca="1" si="121"/>
        <v>0.14213558720615002</v>
      </c>
      <c r="J104" s="524">
        <f t="shared" ca="1" si="121"/>
        <v>-2.0659204605299998E-2</v>
      </c>
      <c r="K104" s="524">
        <f t="shared" si="121"/>
        <v>0</v>
      </c>
      <c r="L104" s="524">
        <f t="shared" si="121"/>
        <v>0</v>
      </c>
      <c r="M104" s="524">
        <f t="shared" ca="1" si="121"/>
        <v>0.12147638260085003</v>
      </c>
      <c r="N104" s="524">
        <f t="shared" ca="1" si="121"/>
        <v>0.12147638260085003</v>
      </c>
      <c r="O104" s="524">
        <f t="shared" ca="1" si="121"/>
        <v>-2.0659204605299998E-2</v>
      </c>
      <c r="P104" s="524">
        <f t="shared" si="121"/>
        <v>0</v>
      </c>
      <c r="Q104" s="524">
        <f t="shared" si="121"/>
        <v>0</v>
      </c>
      <c r="R104" s="524">
        <f t="shared" ca="1" si="121"/>
        <v>0.10081717799555004</v>
      </c>
      <c r="S104" s="524">
        <f t="shared" ca="1" si="121"/>
        <v>0.10081717799555004</v>
      </c>
      <c r="T104" s="524">
        <f t="shared" ca="1" si="121"/>
        <v>-2.0659204605299998E-2</v>
      </c>
      <c r="U104" s="524">
        <f t="shared" si="121"/>
        <v>0</v>
      </c>
      <c r="V104" s="524">
        <f t="shared" si="121"/>
        <v>0</v>
      </c>
      <c r="W104" s="524">
        <f t="shared" ca="1" si="121"/>
        <v>8.0157973390250048E-2</v>
      </c>
    </row>
    <row r="105" spans="2:23" x14ac:dyDescent="0.25">
      <c r="B105" s="468">
        <f t="shared" si="120"/>
        <v>6</v>
      </c>
      <c r="C105" s="469" t="s">
        <v>266</v>
      </c>
      <c r="D105" s="524">
        <f t="shared" ca="1" si="122"/>
        <v>2.6134260521243</v>
      </c>
      <c r="E105" s="524">
        <f t="shared" ca="1" si="121"/>
        <v>-9.8843200250199992E-2</v>
      </c>
      <c r="F105" s="524">
        <f t="shared" si="121"/>
        <v>0</v>
      </c>
      <c r="G105" s="524">
        <f t="shared" si="121"/>
        <v>0</v>
      </c>
      <c r="H105" s="524">
        <f t="shared" ca="1" si="121"/>
        <v>2.5145828518741</v>
      </c>
      <c r="I105" s="524">
        <f t="shared" ca="1" si="121"/>
        <v>2.5145828518741</v>
      </c>
      <c r="J105" s="524">
        <f t="shared" ca="1" si="121"/>
        <v>-9.8843200250199992E-2</v>
      </c>
      <c r="K105" s="524">
        <f t="shared" si="121"/>
        <v>0</v>
      </c>
      <c r="L105" s="524">
        <f t="shared" si="121"/>
        <v>0</v>
      </c>
      <c r="M105" s="524">
        <f t="shared" ca="1" si="121"/>
        <v>2.4157396516239</v>
      </c>
      <c r="N105" s="524">
        <f t="shared" ca="1" si="121"/>
        <v>2.4157396516239</v>
      </c>
      <c r="O105" s="524">
        <f t="shared" ca="1" si="121"/>
        <v>-9.8843200250199992E-2</v>
      </c>
      <c r="P105" s="524">
        <f t="shared" si="121"/>
        <v>0</v>
      </c>
      <c r="Q105" s="524">
        <f t="shared" si="121"/>
        <v>0</v>
      </c>
      <c r="R105" s="524">
        <f t="shared" ca="1" si="121"/>
        <v>2.3168964513737</v>
      </c>
      <c r="S105" s="524">
        <f t="shared" ca="1" si="121"/>
        <v>2.3168964513737</v>
      </c>
      <c r="T105" s="524">
        <f t="shared" ca="1" si="121"/>
        <v>-9.8843200250199992E-2</v>
      </c>
      <c r="U105" s="524">
        <f t="shared" si="121"/>
        <v>0</v>
      </c>
      <c r="V105" s="524">
        <f t="shared" si="121"/>
        <v>0</v>
      </c>
      <c r="W105" s="524">
        <f t="shared" ca="1" si="121"/>
        <v>2.2180532511235</v>
      </c>
    </row>
    <row r="106" spans="2:23" x14ac:dyDescent="0.25">
      <c r="B106" s="237"/>
      <c r="C106" s="470"/>
      <c r="D106" s="470"/>
      <c r="E106" s="470"/>
      <c r="F106" s="470"/>
      <c r="G106" s="478"/>
      <c r="H106" s="470"/>
      <c r="I106" s="237"/>
      <c r="J106" s="471"/>
      <c r="K106" s="471"/>
      <c r="L106" s="478"/>
      <c r="M106" s="237"/>
      <c r="N106" s="237"/>
      <c r="O106" s="471"/>
      <c r="P106" s="471"/>
      <c r="Q106" s="478"/>
      <c r="R106" s="237"/>
      <c r="S106" s="237"/>
      <c r="T106" s="471"/>
      <c r="U106" s="471"/>
      <c r="V106" s="478"/>
      <c r="W106" s="237"/>
    </row>
    <row r="107" spans="2:23" ht="16.8" x14ac:dyDescent="0.25">
      <c r="B107" s="472"/>
      <c r="C107" s="473" t="s">
        <v>180</v>
      </c>
      <c r="D107" s="525">
        <f ca="1">SUM(D99:D105)</f>
        <v>158.41235512186068</v>
      </c>
      <c r="E107" s="525">
        <f t="shared" ref="E107" ca="1" si="123">SUM(E99:E105)</f>
        <v>-7.7045590981596188</v>
      </c>
      <c r="F107" s="525">
        <f t="shared" ref="F107" si="124">SUM(F99:F105)</f>
        <v>0</v>
      </c>
      <c r="G107" s="525">
        <f t="shared" ref="G107" si="125">SUM(G99:G105)</f>
        <v>0</v>
      </c>
      <c r="H107" s="525">
        <f t="shared" ref="H107" ca="1" si="126">SUM(H99:H105)</f>
        <v>150.70779602370104</v>
      </c>
      <c r="I107" s="525">
        <f t="shared" ref="I107" ca="1" si="127">SUM(I99:I105)</f>
        <v>150.70779602370104</v>
      </c>
      <c r="J107" s="525">
        <f t="shared" ref="J107" ca="1" si="128">SUM(J99:J105)</f>
        <v>-7.7018945531796188</v>
      </c>
      <c r="K107" s="525">
        <f t="shared" ref="K107" si="129">SUM(K99:K105)</f>
        <v>0</v>
      </c>
      <c r="L107" s="525">
        <f t="shared" ref="L107" si="130">SUM(L99:L105)</f>
        <v>0</v>
      </c>
      <c r="M107" s="525">
        <f t="shared" ref="M107" ca="1" si="131">SUM(M99:M105)</f>
        <v>143.00590147052142</v>
      </c>
      <c r="N107" s="525">
        <f t="shared" ref="N107" ca="1" si="132">SUM(N99:N105)</f>
        <v>143.00590147052142</v>
      </c>
      <c r="O107" s="525">
        <f t="shared" ref="O107" ca="1" si="133">SUM(O99:O105)</f>
        <v>-7.7018945531796188</v>
      </c>
      <c r="P107" s="525">
        <f t="shared" ref="P107" si="134">SUM(P99:P105)</f>
        <v>0</v>
      </c>
      <c r="Q107" s="525">
        <f t="shared" ref="Q107" si="135">SUM(Q99:Q105)</f>
        <v>0</v>
      </c>
      <c r="R107" s="525">
        <f t="shared" ref="R107" ca="1" si="136">SUM(R99:R105)</f>
        <v>135.30400691734178</v>
      </c>
      <c r="S107" s="525">
        <f t="shared" ref="S107" ca="1" si="137">SUM(S99:S105)</f>
        <v>135.30400691734178</v>
      </c>
      <c r="T107" s="525">
        <f t="shared" ref="T107" ca="1" si="138">SUM(T99:T105)</f>
        <v>-7.7018945531796188</v>
      </c>
      <c r="U107" s="525">
        <f t="shared" ref="U107" si="139">SUM(U99:U105)</f>
        <v>0</v>
      </c>
      <c r="V107" s="525">
        <f t="shared" ref="V107" si="140">SUM(V99:V105)</f>
        <v>0</v>
      </c>
      <c r="W107" s="525">
        <f t="shared" ref="W107" ca="1" si="141">SUM(W99:W105)</f>
        <v>127.6021123641622</v>
      </c>
    </row>
  </sheetData>
  <mergeCells count="61">
    <mergeCell ref="B4:W4"/>
    <mergeCell ref="B96:B98"/>
    <mergeCell ref="C96:C98"/>
    <mergeCell ref="D96:H96"/>
    <mergeCell ref="I96:M96"/>
    <mergeCell ref="N96:R96"/>
    <mergeCell ref="S96:W96"/>
    <mergeCell ref="D97:H97"/>
    <mergeCell ref="I97:M97"/>
    <mergeCell ref="N97:R97"/>
    <mergeCell ref="S97:W97"/>
    <mergeCell ref="B80:B82"/>
    <mergeCell ref="C80:C82"/>
    <mergeCell ref="D80:H80"/>
    <mergeCell ref="I80:M80"/>
    <mergeCell ref="N80:R80"/>
    <mergeCell ref="S80:W80"/>
    <mergeCell ref="D81:H81"/>
    <mergeCell ref="I81:M81"/>
    <mergeCell ref="N81:R81"/>
    <mergeCell ref="S81:W81"/>
    <mergeCell ref="B63:B65"/>
    <mergeCell ref="C63:C65"/>
    <mergeCell ref="D63:H63"/>
    <mergeCell ref="I63:M63"/>
    <mergeCell ref="N63:R63"/>
    <mergeCell ref="S63:W63"/>
    <mergeCell ref="D64:H64"/>
    <mergeCell ref="I64:M64"/>
    <mergeCell ref="N64:R64"/>
    <mergeCell ref="S64:W64"/>
    <mergeCell ref="B46:B48"/>
    <mergeCell ref="C46:C48"/>
    <mergeCell ref="D46:H46"/>
    <mergeCell ref="I46:M46"/>
    <mergeCell ref="N46:R46"/>
    <mergeCell ref="S46:W46"/>
    <mergeCell ref="D47:H47"/>
    <mergeCell ref="I47:M47"/>
    <mergeCell ref="N47:R47"/>
    <mergeCell ref="S47:W47"/>
    <mergeCell ref="B28:B30"/>
    <mergeCell ref="C28:C30"/>
    <mergeCell ref="D28:H28"/>
    <mergeCell ref="I28:M28"/>
    <mergeCell ref="N28:R28"/>
    <mergeCell ref="S28:W28"/>
    <mergeCell ref="D29:H29"/>
    <mergeCell ref="I29:M29"/>
    <mergeCell ref="N29:R29"/>
    <mergeCell ref="S29:W29"/>
    <mergeCell ref="B12:B14"/>
    <mergeCell ref="C12:C14"/>
    <mergeCell ref="D12:H12"/>
    <mergeCell ref="I12:M12"/>
    <mergeCell ref="N12:R12"/>
    <mergeCell ref="S12:W12"/>
    <mergeCell ref="D13:H13"/>
    <mergeCell ref="I13:M13"/>
    <mergeCell ref="N13:R13"/>
    <mergeCell ref="S13:W13"/>
  </mergeCells>
  <pageMargins left="0.19" right="0.11" top="0.47244094488188981" bottom="0.43307086614173229" header="0.23622047244094491" footer="0.23622047244094491"/>
  <pageSetup paperSize="9" scale="48" fitToHeight="2" orientation="landscape" r:id="rId1"/>
  <headerFooter alignWithMargins="0"/>
  <rowBreaks count="1" manualBreakCount="1">
    <brk id="60" min="1" max="2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E93DD-4DD5-4888-82F9-55052D5EF08B}">
  <dimension ref="D1:H38"/>
  <sheetViews>
    <sheetView showGridLines="0" zoomScale="63" workbookViewId="0">
      <selection activeCell="M23" sqref="M23"/>
    </sheetView>
  </sheetViews>
  <sheetFormatPr defaultColWidth="8.88671875" defaultRowHeight="13.2" x14ac:dyDescent="0.25"/>
  <cols>
    <col min="1" max="3" width="8.88671875" style="650"/>
    <col min="4" max="4" width="38" style="693" customWidth="1"/>
    <col min="5" max="9" width="10.88671875" style="650" bestFit="1" customWidth="1"/>
    <col min="10" max="16384" width="8.88671875" style="650"/>
  </cols>
  <sheetData>
    <row r="1" spans="4:8" x14ac:dyDescent="0.25">
      <c r="D1" s="864"/>
      <c r="E1" s="649"/>
      <c r="F1" s="649"/>
      <c r="G1" s="649"/>
      <c r="H1" s="649"/>
    </row>
    <row r="2" spans="4:8" x14ac:dyDescent="0.25">
      <c r="D2" s="864"/>
      <c r="E2" s="649"/>
      <c r="F2" s="649"/>
      <c r="G2" s="649"/>
      <c r="H2" s="649"/>
    </row>
    <row r="3" spans="4:8" x14ac:dyDescent="0.25">
      <c r="D3" s="865" t="s">
        <v>844</v>
      </c>
      <c r="E3" s="651" t="s">
        <v>75</v>
      </c>
      <c r="F3" s="651" t="s">
        <v>76</v>
      </c>
      <c r="G3" s="651" t="s">
        <v>77</v>
      </c>
      <c r="H3" s="649"/>
    </row>
    <row r="4" spans="4:8" x14ac:dyDescent="0.25">
      <c r="D4" s="660" t="s">
        <v>854</v>
      </c>
      <c r="E4" s="816">
        <f>+'F13'!J23</f>
        <v>69.593052947727358</v>
      </c>
      <c r="F4" s="816">
        <f>+'F13'!J54</f>
        <v>69.069897979452321</v>
      </c>
      <c r="G4" s="816">
        <f ca="1">+'F1 '!N31</f>
        <v>64.914722100131854</v>
      </c>
      <c r="H4" s="649"/>
    </row>
    <row r="5" spans="4:8" x14ac:dyDescent="0.25">
      <c r="D5" s="660" t="s">
        <v>855</v>
      </c>
      <c r="E5" s="816">
        <f>+'F13'!J26</f>
        <v>68.082301200000003</v>
      </c>
      <c r="F5" s="816">
        <f>+'F13'!J56</f>
        <v>67.671861500000006</v>
      </c>
      <c r="G5" s="816">
        <f ca="1">+'F11'!M14</f>
        <v>64.281692011890442</v>
      </c>
      <c r="H5" s="649"/>
    </row>
    <row r="6" spans="4:8" x14ac:dyDescent="0.25">
      <c r="D6" s="866" t="s">
        <v>856</v>
      </c>
      <c r="E6" s="817">
        <f>E4-E5</f>
        <v>1.5107517477273547</v>
      </c>
      <c r="F6" s="817">
        <f t="shared" ref="F6:G6" si="0">F4-F5</f>
        <v>1.3980364794523155</v>
      </c>
      <c r="G6" s="817">
        <f t="shared" ca="1" si="0"/>
        <v>0.63303008824141216</v>
      </c>
      <c r="H6" s="649"/>
    </row>
    <row r="7" spans="4:8" x14ac:dyDescent="0.25">
      <c r="D7" s="864"/>
      <c r="E7" s="655">
        <f>'F1 '!F31-E4</f>
        <v>0</v>
      </c>
      <c r="F7" s="655">
        <f>'F1 '!I31-F4</f>
        <v>0</v>
      </c>
      <c r="G7" s="655">
        <v>-0.63303008824141216</v>
      </c>
      <c r="H7" s="649"/>
    </row>
    <row r="8" spans="4:8" x14ac:dyDescent="0.25">
      <c r="D8" s="864"/>
      <c r="E8" s="649"/>
      <c r="F8" s="649"/>
      <c r="G8" s="649"/>
      <c r="H8" s="649"/>
    </row>
    <row r="9" spans="4:8" x14ac:dyDescent="0.25">
      <c r="D9" s="864"/>
      <c r="E9" s="649"/>
      <c r="F9" s="649"/>
      <c r="G9" s="649"/>
      <c r="H9" s="649"/>
    </row>
    <row r="10" spans="4:8" x14ac:dyDescent="0.25">
      <c r="D10" s="865" t="s">
        <v>844</v>
      </c>
      <c r="E10" s="651" t="s">
        <v>75</v>
      </c>
      <c r="F10" s="651" t="s">
        <v>76</v>
      </c>
      <c r="G10" s="651" t="s">
        <v>77</v>
      </c>
      <c r="H10" s="651" t="s">
        <v>87</v>
      </c>
    </row>
    <row r="11" spans="4:8" x14ac:dyDescent="0.25">
      <c r="D11" s="866" t="s">
        <v>857</v>
      </c>
      <c r="E11" s="656">
        <v>0</v>
      </c>
      <c r="F11" s="656">
        <f>E14</f>
        <v>1.5107517477273547</v>
      </c>
      <c r="G11" s="656">
        <f>F14</f>
        <v>2.9087882271796701</v>
      </c>
      <c r="H11" s="656">
        <f>+G14</f>
        <v>2.9087882271796701</v>
      </c>
    </row>
    <row r="12" spans="4:8" x14ac:dyDescent="0.25">
      <c r="D12" s="660" t="s">
        <v>858</v>
      </c>
      <c r="E12" s="657">
        <f>+E4</f>
        <v>69.593052947727358</v>
      </c>
      <c r="F12" s="658">
        <f>+'F13'!J54</f>
        <v>69.069897979452321</v>
      </c>
      <c r="G12" s="658"/>
      <c r="H12" s="657"/>
    </row>
    <row r="13" spans="4:8" x14ac:dyDescent="0.25">
      <c r="D13" s="660" t="s">
        <v>859</v>
      </c>
      <c r="E13" s="657">
        <f>+E5</f>
        <v>68.082301200000003</v>
      </c>
      <c r="F13" s="657">
        <f>+'F13'!J56</f>
        <v>67.671861500000006</v>
      </c>
      <c r="G13" s="657"/>
      <c r="H13" s="657">
        <f>H11</f>
        <v>2.9087882271796701</v>
      </c>
    </row>
    <row r="14" spans="4:8" x14ac:dyDescent="0.25">
      <c r="D14" s="866" t="s">
        <v>860</v>
      </c>
      <c r="E14" s="656">
        <f t="shared" ref="E14:F14" si="1">E11+E12-E13</f>
        <v>1.5107517477273547</v>
      </c>
      <c r="F14" s="656">
        <f t="shared" si="1"/>
        <v>2.9087882271796701</v>
      </c>
      <c r="G14" s="656">
        <f>G11+G12-G13</f>
        <v>2.9087882271796701</v>
      </c>
      <c r="H14" s="656">
        <f t="shared" ref="H14" si="2">H11+H12-H13</f>
        <v>0</v>
      </c>
    </row>
    <row r="15" spans="4:8" x14ac:dyDescent="0.25">
      <c r="D15" s="660" t="s">
        <v>861</v>
      </c>
      <c r="E15" s="657">
        <f t="shared" ref="E15:F15" si="3">AVERAGE(E14,E11)</f>
        <v>0.75537587386367733</v>
      </c>
      <c r="F15" s="657">
        <f t="shared" si="3"/>
        <v>2.2097699874535124</v>
      </c>
      <c r="G15" s="657">
        <f>AVERAGE(G14,G11)</f>
        <v>2.9087882271796701</v>
      </c>
      <c r="H15" s="657">
        <f t="shared" ref="H15" si="4">AVERAGE(H14,H11)</f>
        <v>1.4543941135898351</v>
      </c>
    </row>
    <row r="16" spans="4:8" x14ac:dyDescent="0.25">
      <c r="D16" s="660" t="s">
        <v>862</v>
      </c>
      <c r="E16" s="659">
        <f>+Assum!D8</f>
        <v>9.2987671232876712E-2</v>
      </c>
      <c r="F16" s="659">
        <f>+Assum!E8</f>
        <v>0.10065163934426231</v>
      </c>
      <c r="G16" s="659">
        <f>+Assum!F8</f>
        <v>0.1045</v>
      </c>
      <c r="H16" s="659">
        <f>+Assum!G8</f>
        <v>0.1045</v>
      </c>
    </row>
    <row r="17" spans="4:8" x14ac:dyDescent="0.25">
      <c r="D17" s="660" t="s">
        <v>863</v>
      </c>
      <c r="E17" s="657">
        <f t="shared" ref="E17:F17" si="5">E15*E16</f>
        <v>7.0240643416082577E-2</v>
      </c>
      <c r="F17" s="657">
        <f t="shared" si="5"/>
        <v>0.222416971810946</v>
      </c>
      <c r="G17" s="657">
        <f>G15*G16</f>
        <v>0.30396836974027552</v>
      </c>
      <c r="H17" s="657">
        <f t="shared" ref="H17" si="6">H15*H16</f>
        <v>0.15198418487013776</v>
      </c>
    </row>
    <row r="18" spans="4:8" ht="26.4" x14ac:dyDescent="0.25">
      <c r="D18" s="660" t="s">
        <v>864</v>
      </c>
      <c r="E18" s="920">
        <f>SUM(E17:H17)</f>
        <v>0.74861016983744189</v>
      </c>
      <c r="F18" s="920"/>
      <c r="G18" s="920"/>
      <c r="H18" s="920"/>
    </row>
    <row r="19" spans="4:8" x14ac:dyDescent="0.25">
      <c r="D19" s="864"/>
      <c r="E19" s="649"/>
      <c r="F19" s="649"/>
      <c r="G19" s="649"/>
      <c r="H19" s="649"/>
    </row>
    <row r="22" spans="4:8" x14ac:dyDescent="0.25">
      <c r="D22" s="867" t="s">
        <v>74</v>
      </c>
      <c r="E22" s="803" t="s">
        <v>294</v>
      </c>
      <c r="F22" s="803" t="s">
        <v>292</v>
      </c>
    </row>
    <row r="23" spans="4:8" ht="32.4" customHeight="1" x14ac:dyDescent="0.25">
      <c r="D23" s="766" t="s">
        <v>1024</v>
      </c>
      <c r="E23" s="804">
        <v>-0.73425661706006906</v>
      </c>
      <c r="F23" s="804">
        <f>+E23</f>
        <v>-0.73425661706006906</v>
      </c>
    </row>
    <row r="24" spans="4:8" ht="32.4" customHeight="1" x14ac:dyDescent="0.25">
      <c r="D24" s="766" t="s">
        <v>1025</v>
      </c>
      <c r="E24" s="804">
        <v>2.8528798404787734</v>
      </c>
      <c r="F24" s="804">
        <f>+E24</f>
        <v>2.8528798404787734</v>
      </c>
    </row>
    <row r="25" spans="4:8" ht="32.4" customHeight="1" x14ac:dyDescent="0.25">
      <c r="D25" s="766" t="s">
        <v>1026</v>
      </c>
      <c r="E25" s="804">
        <v>2.7493961284221768E-3</v>
      </c>
      <c r="F25" s="804">
        <f>+E25</f>
        <v>2.7493961284221768E-3</v>
      </c>
    </row>
    <row r="26" spans="4:8" ht="32.4" customHeight="1" x14ac:dyDescent="0.25">
      <c r="D26" s="766" t="s">
        <v>1027</v>
      </c>
      <c r="E26" s="804">
        <v>-0.57412176328980991</v>
      </c>
      <c r="F26" s="804">
        <v>0</v>
      </c>
    </row>
    <row r="27" spans="4:8" ht="26.4" x14ac:dyDescent="0.25">
      <c r="D27" s="766" t="s">
        <v>1028</v>
      </c>
      <c r="E27" s="804">
        <v>0.20617760134653185</v>
      </c>
      <c r="F27" s="804">
        <f>+E27</f>
        <v>0.20617760134653185</v>
      </c>
    </row>
    <row r="28" spans="4:8" ht="26.4" x14ac:dyDescent="0.25">
      <c r="D28" s="766" t="s">
        <v>1029</v>
      </c>
      <c r="E28" s="805">
        <f>SUM(E23:E27)</f>
        <v>1.7534284576038486</v>
      </c>
      <c r="F28" s="805">
        <f>SUM(F23:F27)</f>
        <v>2.3275502208936585</v>
      </c>
    </row>
    <row r="30" spans="4:8" x14ac:dyDescent="0.25">
      <c r="D30" s="868" t="s">
        <v>74</v>
      </c>
      <c r="E30" s="803" t="s">
        <v>76</v>
      </c>
      <c r="F30" s="803" t="s">
        <v>77</v>
      </c>
    </row>
    <row r="31" spans="4:8" ht="13.8" x14ac:dyDescent="0.25">
      <c r="D31" s="869" t="s">
        <v>857</v>
      </c>
      <c r="E31" s="661">
        <v>0</v>
      </c>
      <c r="F31" s="662">
        <f>+E34</f>
        <v>1.1637751104468292</v>
      </c>
    </row>
    <row r="32" spans="4:8" ht="13.8" x14ac:dyDescent="0.25">
      <c r="D32" s="869" t="s">
        <v>1030</v>
      </c>
      <c r="E32" s="662">
        <f>+F28</f>
        <v>2.3275502208936585</v>
      </c>
      <c r="F32" s="661">
        <v>0</v>
      </c>
    </row>
    <row r="33" spans="4:6" ht="13.8" x14ac:dyDescent="0.25">
      <c r="D33" s="869" t="s">
        <v>859</v>
      </c>
      <c r="E33" s="657">
        <f>+E32/2</f>
        <v>1.1637751104468292</v>
      </c>
      <c r="F33" s="657">
        <f>+E33</f>
        <v>1.1637751104468292</v>
      </c>
    </row>
    <row r="34" spans="4:6" ht="13.8" x14ac:dyDescent="0.25">
      <c r="D34" s="869" t="s">
        <v>860</v>
      </c>
      <c r="E34" s="662">
        <f>+E31+E32-E33</f>
        <v>1.1637751104468292</v>
      </c>
      <c r="F34" s="662">
        <f>+F31+F32-F33</f>
        <v>0</v>
      </c>
    </row>
    <row r="35" spans="4:6" ht="13.8" x14ac:dyDescent="0.25">
      <c r="D35" s="869" t="s">
        <v>861</v>
      </c>
      <c r="E35" s="662">
        <f>AVERAGE(E34,E31)</f>
        <v>0.58188755522341462</v>
      </c>
      <c r="F35" s="662">
        <f>AVERAGE(F34,F31)</f>
        <v>0.58188755522341462</v>
      </c>
    </row>
    <row r="36" spans="4:6" ht="13.8" x14ac:dyDescent="0.25">
      <c r="D36" s="869" t="s">
        <v>1031</v>
      </c>
      <c r="E36" s="806">
        <v>9.4500000000000001E-2</v>
      </c>
      <c r="F36" s="806">
        <v>9.4500000000000001E-2</v>
      </c>
    </row>
    <row r="37" spans="4:6" ht="13.8" x14ac:dyDescent="0.25">
      <c r="D37" s="870" t="s">
        <v>1032</v>
      </c>
      <c r="E37" s="807">
        <f>E35*E36</f>
        <v>5.4988373968612683E-2</v>
      </c>
      <c r="F37" s="807">
        <f>F35*F36</f>
        <v>5.4988373968612683E-2</v>
      </c>
    </row>
    <row r="38" spans="4:6" ht="13.8" x14ac:dyDescent="0.25">
      <c r="D38" s="766" t="s">
        <v>1033</v>
      </c>
      <c r="E38" s="808">
        <f>E33+E37</f>
        <v>1.218763484415442</v>
      </c>
      <c r="F38" s="809">
        <f>F33+F37</f>
        <v>1.218763484415442</v>
      </c>
    </row>
  </sheetData>
  <mergeCells count="1">
    <mergeCell ref="E18:H18"/>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FBD2C-ABD4-4095-8AF0-557B753CE0E0}">
  <sheetPr>
    <pageSetUpPr fitToPage="1"/>
  </sheetPr>
  <dimension ref="A1:AK68"/>
  <sheetViews>
    <sheetView showGridLines="0" view="pageBreakPreview" topLeftCell="A10" zoomScale="50" zoomScaleNormal="68" zoomScaleSheetLayoutView="50" workbookViewId="0">
      <selection activeCell="X10" sqref="X10"/>
    </sheetView>
  </sheetViews>
  <sheetFormatPr defaultColWidth="9.33203125" defaultRowHeight="13.8" x14ac:dyDescent="0.25"/>
  <cols>
    <col min="1" max="1" width="4.33203125" style="231" customWidth="1"/>
    <col min="2" max="2" width="6.33203125" style="231" customWidth="1"/>
    <col min="3" max="3" width="22.109375" style="231" customWidth="1"/>
    <col min="4" max="4" width="17.77734375" style="231" customWidth="1"/>
    <col min="5" max="5" width="12.33203125" style="231" customWidth="1"/>
    <col min="6" max="6" width="17.109375" style="231" customWidth="1"/>
    <col min="7" max="7" width="18.6640625" style="231" hidden="1" customWidth="1"/>
    <col min="8" max="8" width="13.33203125" style="231" customWidth="1"/>
    <col min="9" max="9" width="16.6640625" style="231" customWidth="1"/>
    <col min="10" max="10" width="13.21875" style="231" customWidth="1"/>
    <col min="11" max="11" width="16.88671875" style="231" customWidth="1"/>
    <col min="12" max="12" width="18.6640625" style="231" hidden="1" customWidth="1"/>
    <col min="13" max="13" width="14.21875" style="231" customWidth="1"/>
    <col min="14" max="14" width="16.44140625" style="231" customWidth="1"/>
    <col min="15" max="15" width="12.88671875" style="231" customWidth="1"/>
    <col min="16" max="16" width="16.88671875" style="231" customWidth="1"/>
    <col min="17" max="17" width="18.6640625" style="231" hidden="1" customWidth="1"/>
    <col min="18" max="18" width="14.88671875" style="231" customWidth="1"/>
    <col min="19" max="19" width="16.6640625" style="231" customWidth="1"/>
    <col min="20" max="20" width="13.109375" style="231" customWidth="1"/>
    <col min="21" max="21" width="16.88671875" style="231" customWidth="1"/>
    <col min="22" max="22" width="18.6640625" style="231" hidden="1" customWidth="1"/>
    <col min="23" max="23" width="13.77734375" style="231" customWidth="1"/>
    <col min="24" max="24" width="16.44140625" style="231" customWidth="1"/>
    <col min="25" max="25" width="12.33203125" style="231" customWidth="1"/>
    <col min="26" max="26" width="17.109375" style="231" customWidth="1"/>
    <col min="27" max="27" width="18.6640625" style="231" hidden="1" customWidth="1"/>
    <col min="28" max="28" width="13.77734375" style="231" customWidth="1"/>
    <col min="29" max="16384" width="9.33203125" style="231"/>
  </cols>
  <sheetData>
    <row r="1" spans="1:37" x14ac:dyDescent="0.25">
      <c r="B1" s="282"/>
    </row>
    <row r="2" spans="1:37" x14ac:dyDescent="0.25">
      <c r="B2" s="465"/>
      <c r="D2" s="466"/>
      <c r="E2" s="466"/>
      <c r="F2" s="233" t="str">
        <f>Index!B2</f>
        <v>JAIGAD POWER TRANSCO LIMITED (JPTL)</v>
      </c>
      <c r="G2" s="233"/>
      <c r="H2" s="466"/>
      <c r="I2" s="466"/>
      <c r="J2" s="466"/>
      <c r="K2" s="466"/>
      <c r="L2" s="466"/>
      <c r="M2" s="466"/>
      <c r="N2" s="466"/>
      <c r="O2" s="466"/>
      <c r="P2" s="466"/>
      <c r="Q2" s="466"/>
      <c r="R2" s="466"/>
      <c r="S2" s="466"/>
      <c r="T2" s="466"/>
      <c r="U2" s="466"/>
      <c r="V2" s="466"/>
      <c r="W2" s="466"/>
    </row>
    <row r="3" spans="1:37" x14ac:dyDescent="0.25">
      <c r="B3" s="465"/>
      <c r="D3" s="283"/>
      <c r="E3" s="283"/>
      <c r="F3" s="233" t="s">
        <v>399</v>
      </c>
      <c r="G3" s="233"/>
      <c r="H3" s="283"/>
      <c r="I3" s="283"/>
      <c r="J3" s="283"/>
      <c r="K3" s="283"/>
      <c r="L3" s="283"/>
      <c r="M3" s="283"/>
      <c r="N3" s="283"/>
      <c r="O3" s="283"/>
      <c r="P3" s="283"/>
      <c r="Q3" s="283"/>
      <c r="R3" s="283"/>
      <c r="S3" s="283"/>
      <c r="T3" s="466"/>
      <c r="U3" s="466"/>
      <c r="V3" s="466"/>
      <c r="W3" s="466"/>
    </row>
    <row r="4" spans="1:37" x14ac:dyDescent="0.25">
      <c r="B4" s="466"/>
      <c r="D4" s="466"/>
      <c r="E4" s="465"/>
      <c r="F4" s="458" t="s">
        <v>418</v>
      </c>
      <c r="G4" s="458"/>
      <c r="H4" s="465"/>
      <c r="I4" s="465"/>
      <c r="J4" s="466"/>
      <c r="K4" s="466"/>
      <c r="L4" s="466"/>
      <c r="M4" s="466"/>
      <c r="N4" s="466"/>
      <c r="O4" s="466"/>
      <c r="P4" s="466"/>
      <c r="Q4" s="466"/>
      <c r="R4" s="466"/>
      <c r="S4" s="466"/>
      <c r="T4" s="466"/>
      <c r="U4" s="466"/>
      <c r="V4" s="466"/>
      <c r="W4" s="466"/>
    </row>
    <row r="5" spans="1:37" x14ac:dyDescent="0.25">
      <c r="C5" s="282"/>
      <c r="E5" s="457"/>
      <c r="H5" s="457"/>
      <c r="I5" s="457"/>
    </row>
    <row r="6" spans="1:37" x14ac:dyDescent="0.25">
      <c r="C6" s="282"/>
      <c r="E6" s="457"/>
      <c r="H6" s="457"/>
      <c r="I6" s="457"/>
    </row>
    <row r="7" spans="1:37" x14ac:dyDescent="0.25">
      <c r="C7" s="282"/>
      <c r="E7" s="457"/>
      <c r="H7" s="457"/>
      <c r="I7" s="457"/>
    </row>
    <row r="8" spans="1:37" x14ac:dyDescent="0.25">
      <c r="C8" s="282"/>
      <c r="E8" s="457"/>
      <c r="H8" s="457"/>
      <c r="I8" s="457"/>
    </row>
    <row r="9" spans="1:37" x14ac:dyDescent="0.25">
      <c r="A9" s="1" t="s">
        <v>358</v>
      </c>
      <c r="B9" s="1104" t="s">
        <v>359</v>
      </c>
      <c r="C9" s="1104"/>
      <c r="D9" s="6"/>
      <c r="E9" s="6"/>
      <c r="F9" s="6"/>
      <c r="G9" s="6"/>
      <c r="H9" s="6"/>
      <c r="I9" s="6"/>
      <c r="J9" s="6"/>
      <c r="K9" s="6"/>
      <c r="L9" s="6"/>
      <c r="M9" s="6"/>
      <c r="N9" s="1"/>
      <c r="O9" s="8"/>
      <c r="P9" s="1"/>
      <c r="Q9" s="1"/>
      <c r="R9" s="8"/>
      <c r="S9" s="8"/>
      <c r="T9" s="1"/>
      <c r="U9" s="1"/>
      <c r="V9" s="1"/>
      <c r="W9" s="1"/>
      <c r="X9" s="1"/>
      <c r="Y9" s="1"/>
      <c r="Z9" s="1"/>
      <c r="AA9" s="1"/>
      <c r="AB9" s="1"/>
      <c r="AC9" s="1"/>
      <c r="AD9" s="1"/>
      <c r="AE9" s="1"/>
      <c r="AF9" s="1"/>
      <c r="AG9" s="1"/>
      <c r="AH9" s="1"/>
      <c r="AI9" s="1"/>
      <c r="AJ9" s="1"/>
      <c r="AK9" s="1"/>
    </row>
    <row r="10" spans="1:37" x14ac:dyDescent="0.25">
      <c r="A10" s="1103"/>
      <c r="B10" s="1103"/>
      <c r="C10" s="2"/>
      <c r="D10" s="2"/>
      <c r="E10" s="2"/>
      <c r="F10" s="2"/>
      <c r="G10" s="2"/>
      <c r="H10" s="2"/>
      <c r="I10" s="2"/>
      <c r="J10" s="2"/>
      <c r="K10" s="2"/>
      <c r="L10" s="2"/>
      <c r="M10" s="2"/>
      <c r="N10" s="1"/>
      <c r="O10" s="8"/>
      <c r="P10" s="1"/>
      <c r="Q10" s="1"/>
      <c r="R10" s="8"/>
      <c r="S10" s="8"/>
      <c r="T10" s="1"/>
      <c r="U10" s="1"/>
      <c r="V10" s="1"/>
      <c r="W10" s="1"/>
      <c r="X10" s="1"/>
      <c r="Y10" s="1"/>
      <c r="Z10" s="1"/>
      <c r="AA10" s="1"/>
      <c r="AB10" s="7"/>
      <c r="AC10" s="1"/>
      <c r="AD10" s="1"/>
      <c r="AE10" s="1"/>
      <c r="AF10" s="1"/>
      <c r="AG10" s="1"/>
      <c r="AH10" s="1"/>
      <c r="AI10" s="1"/>
      <c r="AJ10" s="1"/>
      <c r="AK10" s="1"/>
    </row>
    <row r="11" spans="1:37" x14ac:dyDescent="0.25">
      <c r="A11" s="1103"/>
      <c r="B11" s="1103"/>
      <c r="C11" s="2"/>
      <c r="D11" s="556"/>
      <c r="E11" s="556"/>
      <c r="F11" s="556"/>
      <c r="G11" s="556"/>
      <c r="H11" s="556"/>
      <c r="I11" s="556"/>
      <c r="J11" s="556"/>
      <c r="K11" s="556"/>
      <c r="L11" s="556"/>
      <c r="M11" s="2"/>
      <c r="N11" s="1"/>
      <c r="O11" s="8"/>
      <c r="P11" s="1"/>
      <c r="Q11" s="1"/>
      <c r="R11" s="8"/>
      <c r="S11" s="8"/>
      <c r="T11" s="1"/>
      <c r="U11" s="1"/>
      <c r="V11" s="1"/>
      <c r="W11" s="1"/>
      <c r="X11" s="1"/>
      <c r="Y11" s="1"/>
      <c r="Z11" s="1"/>
      <c r="AA11" s="1"/>
      <c r="AB11" s="1"/>
      <c r="AC11" s="1"/>
      <c r="AD11" s="1"/>
      <c r="AE11" s="7"/>
      <c r="AF11" s="1"/>
      <c r="AG11" s="1"/>
      <c r="AH11" s="1"/>
      <c r="AI11" s="1"/>
      <c r="AJ11" s="1"/>
      <c r="AK11" s="1"/>
    </row>
    <row r="12" spans="1:37" x14ac:dyDescent="0.25">
      <c r="A12" s="1"/>
      <c r="B12" s="1105" t="s">
        <v>419</v>
      </c>
      <c r="C12" s="1105"/>
      <c r="D12" s="1106"/>
      <c r="E12" s="1106"/>
      <c r="F12" s="1106"/>
      <c r="G12" s="1106"/>
      <c r="H12" s="1106"/>
      <c r="I12" s="1106"/>
      <c r="J12" s="1106"/>
      <c r="K12" s="1106"/>
      <c r="L12" s="1106"/>
      <c r="M12" s="2"/>
      <c r="N12" s="1"/>
      <c r="O12" s="8"/>
      <c r="P12" s="1"/>
      <c r="Q12" s="1"/>
      <c r="R12" s="8"/>
      <c r="S12" s="8"/>
      <c r="T12" s="1"/>
      <c r="U12" s="1"/>
      <c r="V12" s="1"/>
      <c r="W12" s="1"/>
      <c r="X12" s="1"/>
      <c r="Y12" s="1"/>
      <c r="Z12" s="1"/>
      <c r="AA12" s="1"/>
      <c r="AB12" s="1"/>
      <c r="AC12" s="1"/>
      <c r="AD12" s="1"/>
      <c r="AE12" s="7"/>
      <c r="AF12" s="1"/>
      <c r="AG12" s="1"/>
      <c r="AH12" s="1"/>
      <c r="AI12" s="1"/>
      <c r="AJ12" s="1"/>
      <c r="AK12" s="1"/>
    </row>
    <row r="13" spans="1:37" x14ac:dyDescent="0.25">
      <c r="A13" s="1103"/>
      <c r="B13" s="1103"/>
      <c r="C13" s="2"/>
      <c r="D13" s="556"/>
      <c r="E13" s="556"/>
      <c r="F13" s="556"/>
      <c r="G13" s="556"/>
      <c r="H13" s="556"/>
      <c r="I13" s="556"/>
      <c r="J13" s="556"/>
      <c r="K13" s="556"/>
      <c r="L13" s="556"/>
      <c r="M13" s="2"/>
      <c r="N13" s="1"/>
      <c r="O13" s="8"/>
      <c r="P13" s="1"/>
      <c r="Q13" s="1"/>
      <c r="R13" s="8"/>
      <c r="S13" s="8"/>
      <c r="T13" s="1"/>
      <c r="U13" s="1"/>
      <c r="V13" s="1"/>
      <c r="W13" s="1"/>
      <c r="X13" s="1"/>
      <c r="Y13" s="1"/>
      <c r="Z13" s="1"/>
      <c r="AA13" s="1"/>
      <c r="AB13" s="1"/>
      <c r="AC13" s="1"/>
      <c r="AD13" s="1"/>
      <c r="AE13" s="7"/>
      <c r="AF13" s="1"/>
      <c r="AG13" s="1"/>
      <c r="AH13" s="1"/>
      <c r="AI13" s="1"/>
      <c r="AJ13" s="1"/>
      <c r="AK13" s="1"/>
    </row>
    <row r="14" spans="1:37" x14ac:dyDescent="0.25">
      <c r="A14" s="1103"/>
      <c r="B14" s="1103"/>
      <c r="C14" s="2"/>
      <c r="D14" s="556"/>
      <c r="E14" s="556"/>
      <c r="F14" s="556"/>
      <c r="G14" s="556"/>
      <c r="H14" s="556"/>
      <c r="I14" s="556"/>
      <c r="J14" s="556"/>
      <c r="K14" s="556"/>
      <c r="L14" s="556"/>
      <c r="M14" s="2"/>
      <c r="N14" s="1"/>
      <c r="O14" s="8"/>
      <c r="P14" s="1"/>
      <c r="Q14" s="1"/>
      <c r="R14" s="8"/>
      <c r="S14" s="8"/>
      <c r="T14" s="1"/>
      <c r="U14" s="1"/>
      <c r="V14" s="1"/>
      <c r="W14" s="1"/>
      <c r="X14" s="1"/>
      <c r="Y14" s="1"/>
      <c r="Z14" s="1"/>
      <c r="AA14" s="1"/>
      <c r="AB14" s="7" t="s">
        <v>73</v>
      </c>
      <c r="AC14" s="1"/>
      <c r="AD14" s="1"/>
      <c r="AE14" s="7"/>
      <c r="AF14" s="1"/>
      <c r="AG14" s="1"/>
      <c r="AH14" s="1"/>
      <c r="AI14" s="1"/>
      <c r="AJ14" s="1"/>
      <c r="AK14" s="1"/>
    </row>
    <row r="15" spans="1:37" ht="13.95" customHeight="1" x14ac:dyDescent="0.25">
      <c r="A15" s="1"/>
      <c r="B15" s="1107" t="s">
        <v>1</v>
      </c>
      <c r="C15" s="1107" t="s">
        <v>74</v>
      </c>
      <c r="D15" s="1110" t="s">
        <v>87</v>
      </c>
      <c r="E15" s="1111"/>
      <c r="F15" s="1111"/>
      <c r="G15" s="1111"/>
      <c r="H15" s="1112"/>
      <c r="I15" s="1110" t="s">
        <v>88</v>
      </c>
      <c r="J15" s="1111"/>
      <c r="K15" s="1111"/>
      <c r="L15" s="1111"/>
      <c r="M15" s="1099"/>
      <c r="N15" s="1097" t="s">
        <v>89</v>
      </c>
      <c r="O15" s="1098"/>
      <c r="P15" s="1098"/>
      <c r="Q15" s="1098"/>
      <c r="R15" s="1099"/>
      <c r="S15" s="1097" t="s">
        <v>90</v>
      </c>
      <c r="T15" s="1098"/>
      <c r="U15" s="1098"/>
      <c r="V15" s="1098"/>
      <c r="W15" s="1099"/>
      <c r="X15" s="1097" t="s">
        <v>91</v>
      </c>
      <c r="Y15" s="1098"/>
      <c r="Z15" s="1098"/>
      <c r="AA15" s="1098"/>
      <c r="AB15" s="1099"/>
      <c r="AC15" s="1"/>
      <c r="AD15" s="1"/>
      <c r="AE15" s="1"/>
      <c r="AF15" s="1"/>
      <c r="AG15" s="1"/>
      <c r="AH15" s="1"/>
      <c r="AI15" s="1"/>
      <c r="AJ15" s="1"/>
      <c r="AK15" s="1"/>
    </row>
    <row r="16" spans="1:37" ht="13.95" customHeight="1" x14ac:dyDescent="0.25">
      <c r="A16" s="1"/>
      <c r="B16" s="1108"/>
      <c r="C16" s="1108"/>
      <c r="D16" s="1113" t="s">
        <v>103</v>
      </c>
      <c r="E16" s="1114"/>
      <c r="F16" s="1114"/>
      <c r="G16" s="1114"/>
      <c r="H16" s="1115"/>
      <c r="I16" s="1113" t="s">
        <v>103</v>
      </c>
      <c r="J16" s="1114"/>
      <c r="K16" s="1114"/>
      <c r="L16" s="1114"/>
      <c r="M16" s="1115"/>
      <c r="N16" s="1113" t="s">
        <v>103</v>
      </c>
      <c r="O16" s="1114"/>
      <c r="P16" s="1114"/>
      <c r="Q16" s="1114"/>
      <c r="R16" s="1115"/>
      <c r="S16" s="1113" t="s">
        <v>103</v>
      </c>
      <c r="T16" s="1114"/>
      <c r="U16" s="1114"/>
      <c r="V16" s="1114"/>
      <c r="W16" s="1115"/>
      <c r="X16" s="1113" t="s">
        <v>103</v>
      </c>
      <c r="Y16" s="1114"/>
      <c r="Z16" s="1114"/>
      <c r="AA16" s="1114"/>
      <c r="AB16" s="1115"/>
      <c r="AC16" s="1"/>
      <c r="AD16" s="1"/>
      <c r="AE16" s="1"/>
      <c r="AF16" s="1"/>
      <c r="AG16" s="1"/>
      <c r="AH16" s="1"/>
      <c r="AI16" s="1"/>
      <c r="AJ16" s="1"/>
      <c r="AK16" s="1"/>
    </row>
    <row r="17" spans="1:37" ht="41.4" x14ac:dyDescent="0.25">
      <c r="A17" s="1"/>
      <c r="B17" s="1109"/>
      <c r="C17" s="1109"/>
      <c r="D17" s="494" t="s">
        <v>360</v>
      </c>
      <c r="E17" s="494" t="s">
        <v>361</v>
      </c>
      <c r="F17" s="494" t="s">
        <v>362</v>
      </c>
      <c r="G17" s="494" t="s">
        <v>401</v>
      </c>
      <c r="H17" s="494" t="s">
        <v>363</v>
      </c>
      <c r="I17" s="494" t="s">
        <v>360</v>
      </c>
      <c r="J17" s="494" t="s">
        <v>361</v>
      </c>
      <c r="K17" s="494" t="s">
        <v>362</v>
      </c>
      <c r="L17" s="494" t="s">
        <v>401</v>
      </c>
      <c r="M17" s="494" t="s">
        <v>363</v>
      </c>
      <c r="N17" s="494" t="s">
        <v>360</v>
      </c>
      <c r="O17" s="494" t="s">
        <v>361</v>
      </c>
      <c r="P17" s="494" t="s">
        <v>362</v>
      </c>
      <c r="Q17" s="494" t="s">
        <v>401</v>
      </c>
      <c r="R17" s="494" t="s">
        <v>363</v>
      </c>
      <c r="S17" s="494" t="s">
        <v>360</v>
      </c>
      <c r="T17" s="494" t="s">
        <v>361</v>
      </c>
      <c r="U17" s="494" t="s">
        <v>362</v>
      </c>
      <c r="V17" s="494" t="s">
        <v>401</v>
      </c>
      <c r="W17" s="494" t="s">
        <v>363</v>
      </c>
      <c r="X17" s="494" t="s">
        <v>360</v>
      </c>
      <c r="Y17" s="494" t="s">
        <v>361</v>
      </c>
      <c r="Z17" s="494" t="s">
        <v>362</v>
      </c>
      <c r="AA17" s="494" t="s">
        <v>401</v>
      </c>
      <c r="AB17" s="494" t="s">
        <v>363</v>
      </c>
      <c r="AC17" s="1"/>
      <c r="AD17" s="1"/>
      <c r="AE17" s="1"/>
      <c r="AF17" s="1"/>
      <c r="AG17" s="9"/>
      <c r="AH17" s="9"/>
      <c r="AI17" s="9"/>
      <c r="AJ17" s="9"/>
      <c r="AK17" s="9"/>
    </row>
    <row r="18" spans="1:37" ht="27.6" x14ac:dyDescent="0.25">
      <c r="A18" s="9"/>
      <c r="B18" s="494"/>
      <c r="C18" s="494"/>
      <c r="D18" s="494" t="s">
        <v>92</v>
      </c>
      <c r="E18" s="494" t="s">
        <v>93</v>
      </c>
      <c r="F18" s="494" t="s">
        <v>191</v>
      </c>
      <c r="G18" s="494" t="s">
        <v>95</v>
      </c>
      <c r="H18" s="494" t="s">
        <v>402</v>
      </c>
      <c r="I18" s="494" t="s">
        <v>96</v>
      </c>
      <c r="J18" s="494" t="s">
        <v>365</v>
      </c>
      <c r="K18" s="494" t="s">
        <v>98</v>
      </c>
      <c r="L18" s="494" t="s">
        <v>99</v>
      </c>
      <c r="M18" s="494" t="s">
        <v>403</v>
      </c>
      <c r="N18" s="494" t="s">
        <v>367</v>
      </c>
      <c r="O18" s="494" t="s">
        <v>369</v>
      </c>
      <c r="P18" s="494" t="s">
        <v>370</v>
      </c>
      <c r="Q18" s="494" t="s">
        <v>371</v>
      </c>
      <c r="R18" s="494" t="s">
        <v>404</v>
      </c>
      <c r="S18" s="494" t="s">
        <v>374</v>
      </c>
      <c r="T18" s="494" t="s">
        <v>375</v>
      </c>
      <c r="U18" s="494" t="s">
        <v>376</v>
      </c>
      <c r="V18" s="494" t="s">
        <v>378</v>
      </c>
      <c r="W18" s="494" t="s">
        <v>405</v>
      </c>
      <c r="X18" s="494" t="s">
        <v>379</v>
      </c>
      <c r="Y18" s="494" t="s">
        <v>380</v>
      </c>
      <c r="Z18" s="494" t="s">
        <v>382</v>
      </c>
      <c r="AA18" s="494" t="s">
        <v>383</v>
      </c>
      <c r="AB18" s="494" t="s">
        <v>406</v>
      </c>
      <c r="AC18" s="1"/>
      <c r="AD18" s="1"/>
      <c r="AE18" s="1"/>
      <c r="AF18" s="1"/>
      <c r="AG18" s="8"/>
      <c r="AH18" s="8"/>
      <c r="AI18" s="8"/>
      <c r="AJ18" s="8"/>
      <c r="AK18" s="8"/>
    </row>
    <row r="19" spans="1:37" x14ac:dyDescent="0.25">
      <c r="A19" s="8"/>
      <c r="B19" s="468">
        <v>1</v>
      </c>
      <c r="C19" s="469" t="s">
        <v>732</v>
      </c>
      <c r="D19" s="495"/>
      <c r="E19" s="528">
        <f>SUMIFS('Capitalisation '!$I$5:$I$17,'Capitalisation '!$J$5:$J$17,"2025-26",'Capitalisation '!$F$5:$F$17,'F4.1 (N) New'!$C19)</f>
        <v>0</v>
      </c>
      <c r="F19" s="495"/>
      <c r="G19" s="495"/>
      <c r="H19" s="524">
        <f>+D19+E19-F19-G19</f>
        <v>0</v>
      </c>
      <c r="I19" s="526">
        <f>+H19</f>
        <v>0</v>
      </c>
      <c r="J19" s="528">
        <f>SUMIFS('Capitalisation '!$I$5:$I$17,'Capitalisation '!$J$5:$J$17,"2026-27",'Capitalisation '!$F$5:$F$17,'F4.1 (N) New'!$C19)</f>
        <v>0</v>
      </c>
      <c r="K19" s="524"/>
      <c r="L19" s="478"/>
      <c r="M19" s="524">
        <f>+I19+J19-K19-L19</f>
        <v>0</v>
      </c>
      <c r="N19" s="526">
        <f>+M19</f>
        <v>0</v>
      </c>
      <c r="O19" s="528">
        <f>SUMIFS('Capitalisation '!$I$5:$I$17,'Capitalisation '!$J$5:$J$17,"2027-28",'Capitalisation '!$F$5:$F$17,'F4.1 (N) New'!$C19)</f>
        <v>0</v>
      </c>
      <c r="P19" s="237"/>
      <c r="Q19" s="478"/>
      <c r="R19" s="524">
        <f>+N19+O19-P19-Q19</f>
        <v>0</v>
      </c>
      <c r="S19" s="526">
        <f>+R19</f>
        <v>0</v>
      </c>
      <c r="T19" s="528">
        <f>SUMIFS('Capitalisation '!$I$5:$I$17,'Capitalisation '!$J$5:$J$17,"2028-29",'Capitalisation '!$F$5:$F$17,'F4.1 (N) New'!$C19)</f>
        <v>0</v>
      </c>
      <c r="U19" s="237"/>
      <c r="V19" s="478"/>
      <c r="W19" s="524">
        <f>+S19+T19-U19-V19</f>
        <v>0</v>
      </c>
      <c r="X19" s="526">
        <f>+W19</f>
        <v>0</v>
      </c>
      <c r="Y19" s="528">
        <f>SUMIFS('Capitalisation '!$I$5:$I$17,'Capitalisation '!$J$5:$J$17,"2029-30",'Capitalisation '!$F$5:$F$17,'F4.1 (N) New'!$C19)</f>
        <v>0</v>
      </c>
      <c r="Z19" s="237"/>
      <c r="AA19" s="478"/>
      <c r="AB19" s="524">
        <f>+X19+Y19-Z19-AA19</f>
        <v>0</v>
      </c>
      <c r="AC19" s="1"/>
      <c r="AD19" s="1"/>
      <c r="AE19" s="1"/>
      <c r="AF19" s="1"/>
      <c r="AG19" s="8"/>
      <c r="AH19" s="8"/>
      <c r="AI19" s="8"/>
      <c r="AJ19" s="8"/>
      <c r="AK19" s="8"/>
    </row>
    <row r="20" spans="1:37" x14ac:dyDescent="0.25">
      <c r="A20" s="8"/>
      <c r="B20" s="468">
        <f>+B19+1</f>
        <v>2</v>
      </c>
      <c r="C20" s="469" t="s">
        <v>265</v>
      </c>
      <c r="D20" s="495"/>
      <c r="E20" s="528">
        <f>SUMIFS('Capitalisation '!$I$5:$I$17,'Capitalisation '!$J$5:$J$17,"2025-26",'Capitalisation '!$F$5:$F$17,'F4.1 (N) New'!$C20)</f>
        <v>9.9450000000000003</v>
      </c>
      <c r="F20" s="495"/>
      <c r="G20" s="495"/>
      <c r="H20" s="524">
        <f t="shared" ref="H20:H24" si="0">+D20+E20-F20-G20</f>
        <v>9.9450000000000003</v>
      </c>
      <c r="I20" s="526">
        <f t="shared" ref="I20:I24" si="1">+H20</f>
        <v>9.9450000000000003</v>
      </c>
      <c r="J20" s="528">
        <f>SUMIFS('Capitalisation '!$I$5:$I$17,'Capitalisation '!$J$5:$J$17,"2026-27",'Capitalisation '!$F$5:$F$17,'F4.1 (N) New'!$C20)</f>
        <v>0.4</v>
      </c>
      <c r="K20" s="524"/>
      <c r="L20" s="478"/>
      <c r="M20" s="524">
        <f t="shared" ref="M20:M24" si="2">+I20+J20-K20-L20</f>
        <v>10.345000000000001</v>
      </c>
      <c r="N20" s="526">
        <f t="shared" ref="N20:N24" si="3">+M20</f>
        <v>10.345000000000001</v>
      </c>
      <c r="O20" s="528">
        <f>SUMIFS('Capitalisation '!$I$5:$I$17,'Capitalisation '!$J$5:$J$17,"2027-28",'Capitalisation '!$F$5:$F$17,'F4.1 (N) New'!$C20)</f>
        <v>3.18</v>
      </c>
      <c r="P20" s="237"/>
      <c r="Q20" s="478"/>
      <c r="R20" s="524">
        <f t="shared" ref="R20:R24" si="4">+N20+O20-P20-Q20</f>
        <v>13.525</v>
      </c>
      <c r="S20" s="526">
        <f t="shared" ref="S20:S24" si="5">+R20</f>
        <v>13.525</v>
      </c>
      <c r="T20" s="528">
        <f>SUMIFS('Capitalisation '!$I$5:$I$17,'Capitalisation '!$J$5:$J$17,"2028-29",'Capitalisation '!$F$5:$F$17,'F4.1 (N) New'!$C20)</f>
        <v>1.1337600000000001</v>
      </c>
      <c r="U20" s="237"/>
      <c r="V20" s="478"/>
      <c r="W20" s="524">
        <f t="shared" ref="W20:W24" si="6">+S20+T20-U20-V20</f>
        <v>14.658760000000001</v>
      </c>
      <c r="X20" s="526">
        <f t="shared" ref="X20:X24" si="7">+W20</f>
        <v>14.658760000000001</v>
      </c>
      <c r="Y20" s="528">
        <f>SUMIFS('Capitalisation '!$I$5:$I$17,'Capitalisation '!$J$5:$J$17,"2029-30",'Capitalisation '!$F$5:$F$17,'F4.1 (N) New'!$C20)</f>
        <v>0</v>
      </c>
      <c r="Z20" s="237"/>
      <c r="AA20" s="478"/>
      <c r="AB20" s="524">
        <f t="shared" ref="AB20:AB24" si="8">+X20+Y20-Z20-AA20</f>
        <v>14.658760000000001</v>
      </c>
      <c r="AC20" s="1"/>
      <c r="AD20" s="1"/>
      <c r="AE20" s="1"/>
      <c r="AF20" s="1"/>
      <c r="AG20" s="8"/>
      <c r="AH20" s="8"/>
      <c r="AI20" s="8"/>
      <c r="AJ20" s="8"/>
      <c r="AK20" s="8"/>
    </row>
    <row r="21" spans="1:37" x14ac:dyDescent="0.25">
      <c r="A21" s="8"/>
      <c r="B21" s="468">
        <f t="shared" ref="B21:B24" si="9">+B20+1</f>
        <v>3</v>
      </c>
      <c r="C21" s="238" t="s">
        <v>272</v>
      </c>
      <c r="D21" s="13"/>
      <c r="E21" s="528">
        <f>SUMIFS('Capitalisation '!$I$5:$I$17,'Capitalisation '!$J$5:$J$17,"2025-26",'Capitalisation '!$F$5:$F$17,'F4.1 (N) New'!$C21)</f>
        <v>4.2500000000000003E-2</v>
      </c>
      <c r="F21" s="13"/>
      <c r="G21" s="13"/>
      <c r="H21" s="524">
        <f t="shared" si="0"/>
        <v>4.2500000000000003E-2</v>
      </c>
      <c r="I21" s="526">
        <f t="shared" si="1"/>
        <v>4.2500000000000003E-2</v>
      </c>
      <c r="J21" s="528">
        <f>SUMIFS('Capitalisation '!$I$5:$I$17,'Capitalisation '!$J$5:$J$17,"2026-27",'Capitalisation '!$F$5:$F$17,'F4.1 (N) New'!$C21)</f>
        <v>0</v>
      </c>
      <c r="K21" s="524"/>
      <c r="L21" s="479"/>
      <c r="M21" s="524">
        <f t="shared" si="2"/>
        <v>4.2500000000000003E-2</v>
      </c>
      <c r="N21" s="526">
        <f t="shared" si="3"/>
        <v>4.2500000000000003E-2</v>
      </c>
      <c r="O21" s="528">
        <f>SUMIFS('Capitalisation '!$I$5:$I$17,'Capitalisation '!$J$5:$J$17,"2027-28",'Capitalisation '!$F$5:$F$17,'F4.1 (N) New'!$C21)</f>
        <v>0</v>
      </c>
      <c r="P21" s="237"/>
      <c r="Q21" s="479"/>
      <c r="R21" s="524">
        <f t="shared" si="4"/>
        <v>4.2500000000000003E-2</v>
      </c>
      <c r="S21" s="526">
        <f t="shared" si="5"/>
        <v>4.2500000000000003E-2</v>
      </c>
      <c r="T21" s="528">
        <f>SUMIFS('Capitalisation '!$I$5:$I$17,'Capitalisation '!$J$5:$J$17,"2028-29",'Capitalisation '!$F$5:$F$17,'F4.1 (N) New'!$C21)</f>
        <v>0</v>
      </c>
      <c r="U21" s="237"/>
      <c r="V21" s="479"/>
      <c r="W21" s="524">
        <f t="shared" si="6"/>
        <v>4.2500000000000003E-2</v>
      </c>
      <c r="X21" s="526">
        <f t="shared" si="7"/>
        <v>4.2500000000000003E-2</v>
      </c>
      <c r="Y21" s="528">
        <f>SUMIFS('Capitalisation '!$I$5:$I$17,'Capitalisation '!$J$5:$J$17,"2029-30",'Capitalisation '!$F$5:$F$17,'F4.1 (N) New'!$C21)</f>
        <v>0</v>
      </c>
      <c r="Z21" s="237"/>
      <c r="AA21" s="479"/>
      <c r="AB21" s="524">
        <f t="shared" si="8"/>
        <v>4.2500000000000003E-2</v>
      </c>
      <c r="AC21" s="1"/>
      <c r="AD21" s="1"/>
      <c r="AE21" s="1"/>
      <c r="AF21" s="1"/>
      <c r="AG21" s="1"/>
      <c r="AH21" s="1"/>
      <c r="AI21" s="1"/>
      <c r="AJ21" s="1"/>
      <c r="AK21" s="1"/>
    </row>
    <row r="22" spans="1:37" x14ac:dyDescent="0.25">
      <c r="A22" s="1"/>
      <c r="B22" s="468">
        <f t="shared" si="9"/>
        <v>4</v>
      </c>
      <c r="C22" s="469" t="s">
        <v>769</v>
      </c>
      <c r="D22" s="495"/>
      <c r="E22" s="528">
        <f>SUMIFS('Capitalisation '!$I$5:$I$17,'Capitalisation '!$J$5:$J$17,"2025-26",'Capitalisation '!$F$5:$F$17,'F4.1 (N) New'!$C22)</f>
        <v>0.03</v>
      </c>
      <c r="F22" s="495"/>
      <c r="G22" s="495"/>
      <c r="H22" s="524">
        <f t="shared" si="0"/>
        <v>0.03</v>
      </c>
      <c r="I22" s="526">
        <f t="shared" si="1"/>
        <v>0.03</v>
      </c>
      <c r="J22" s="528">
        <f>SUMIFS('Capitalisation '!$I$5:$I$17,'Capitalisation '!$J$5:$J$17,"2026-27",'Capitalisation '!$F$5:$F$17,'F4.1 (N) New'!$C22)</f>
        <v>0</v>
      </c>
      <c r="K22" s="524"/>
      <c r="L22" s="478"/>
      <c r="M22" s="524">
        <f t="shared" si="2"/>
        <v>0.03</v>
      </c>
      <c r="N22" s="526">
        <f t="shared" si="3"/>
        <v>0.03</v>
      </c>
      <c r="O22" s="528">
        <f>SUMIFS('Capitalisation '!$I$5:$I$17,'Capitalisation '!$J$5:$J$17,"2027-28",'Capitalisation '!$F$5:$F$17,'F4.1 (N) New'!$C22)</f>
        <v>0</v>
      </c>
      <c r="P22" s="237"/>
      <c r="Q22" s="478"/>
      <c r="R22" s="524">
        <f t="shared" si="4"/>
        <v>0.03</v>
      </c>
      <c r="S22" s="526">
        <f t="shared" si="5"/>
        <v>0.03</v>
      </c>
      <c r="T22" s="528">
        <f>SUMIFS('Capitalisation '!$I$5:$I$17,'Capitalisation '!$J$5:$J$17,"2028-29",'Capitalisation '!$F$5:$F$17,'F4.1 (N) New'!$C22)</f>
        <v>0</v>
      </c>
      <c r="U22" s="237"/>
      <c r="V22" s="478"/>
      <c r="W22" s="524">
        <f t="shared" si="6"/>
        <v>0.03</v>
      </c>
      <c r="X22" s="526">
        <f t="shared" si="7"/>
        <v>0.03</v>
      </c>
      <c r="Y22" s="528">
        <f>SUMIFS('Capitalisation '!$I$5:$I$17,'Capitalisation '!$J$5:$J$17,"2029-30",'Capitalisation '!$F$5:$F$17,'F4.1 (N) New'!$C22)</f>
        <v>0</v>
      </c>
      <c r="Z22" s="237"/>
      <c r="AA22" s="478"/>
      <c r="AB22" s="524">
        <f t="shared" si="8"/>
        <v>0.03</v>
      </c>
      <c r="AC22" s="1"/>
      <c r="AD22" s="1"/>
      <c r="AE22" s="1"/>
      <c r="AF22" s="1"/>
      <c r="AG22" s="1"/>
      <c r="AH22" s="1"/>
      <c r="AI22" s="1"/>
      <c r="AJ22" s="1"/>
      <c r="AK22" s="1"/>
    </row>
    <row r="23" spans="1:37" x14ac:dyDescent="0.25">
      <c r="A23" s="1"/>
      <c r="B23" s="468">
        <f t="shared" si="9"/>
        <v>5</v>
      </c>
      <c r="C23" s="469" t="s">
        <v>770</v>
      </c>
      <c r="D23" s="495"/>
      <c r="E23" s="528">
        <f>SUMIFS('Capitalisation '!$I$5:$I$17,'Capitalisation '!$J$5:$J$17,"2025-26",'Capitalisation '!$F$5:$F$17,'F4.1 (N) New'!$C23)</f>
        <v>0</v>
      </c>
      <c r="F23" s="495"/>
      <c r="G23" s="495"/>
      <c r="H23" s="524">
        <f t="shared" si="0"/>
        <v>0</v>
      </c>
      <c r="I23" s="526">
        <f t="shared" si="1"/>
        <v>0</v>
      </c>
      <c r="J23" s="528">
        <f>SUMIFS('Capitalisation '!$I$5:$I$17,'Capitalisation '!$J$5:$J$17,"2026-27",'Capitalisation '!$F$5:$F$17,'F4.1 (N) New'!$C23)</f>
        <v>0</v>
      </c>
      <c r="K23" s="524"/>
      <c r="L23" s="478"/>
      <c r="M23" s="524">
        <f t="shared" si="2"/>
        <v>0</v>
      </c>
      <c r="N23" s="526">
        <f t="shared" si="3"/>
        <v>0</v>
      </c>
      <c r="O23" s="528">
        <f>SUMIFS('Capitalisation '!$I$5:$I$17,'Capitalisation '!$J$5:$J$17,"2027-28",'Capitalisation '!$F$5:$F$17,'F4.1 (N) New'!$C23)</f>
        <v>0</v>
      </c>
      <c r="P23" s="237"/>
      <c r="Q23" s="478"/>
      <c r="R23" s="524">
        <f t="shared" si="4"/>
        <v>0</v>
      </c>
      <c r="S23" s="526">
        <f t="shared" si="5"/>
        <v>0</v>
      </c>
      <c r="T23" s="528">
        <f>SUMIFS('Capitalisation '!$I$5:$I$17,'Capitalisation '!$J$5:$J$17,"2028-29",'Capitalisation '!$F$5:$F$17,'F4.1 (N) New'!$C23)</f>
        <v>0</v>
      </c>
      <c r="U23" s="237"/>
      <c r="V23" s="478"/>
      <c r="W23" s="524">
        <f t="shared" si="6"/>
        <v>0</v>
      </c>
      <c r="X23" s="526">
        <f t="shared" si="7"/>
        <v>0</v>
      </c>
      <c r="Y23" s="528">
        <f>SUMIFS('Capitalisation '!$I$5:$I$17,'Capitalisation '!$J$5:$J$17,"2029-30",'Capitalisation '!$F$5:$F$17,'F4.1 (N) New'!$C23)</f>
        <v>0</v>
      </c>
      <c r="Z23" s="237"/>
      <c r="AA23" s="478"/>
      <c r="AB23" s="524">
        <f t="shared" si="8"/>
        <v>0</v>
      </c>
      <c r="AC23" s="1"/>
      <c r="AD23" s="1"/>
      <c r="AE23" s="1"/>
      <c r="AF23" s="1"/>
      <c r="AG23" s="1"/>
      <c r="AH23" s="1"/>
      <c r="AI23" s="1"/>
      <c r="AJ23" s="1"/>
      <c r="AK23" s="1"/>
    </row>
    <row r="24" spans="1:37" x14ac:dyDescent="0.25">
      <c r="A24" s="1"/>
      <c r="B24" s="468">
        <f t="shared" si="9"/>
        <v>6</v>
      </c>
      <c r="C24" s="469" t="s">
        <v>266</v>
      </c>
      <c r="D24" s="495"/>
      <c r="E24" s="528">
        <f>SUMIFS('Capitalisation '!$I$5:$I$17,'Capitalisation '!$J$5:$J$17,"2025-26",'Capitalisation '!$F$5:$F$17,'F4.1 (N) New'!$C24)</f>
        <v>0.17</v>
      </c>
      <c r="F24" s="495"/>
      <c r="G24" s="495"/>
      <c r="H24" s="524">
        <f t="shared" si="0"/>
        <v>0.17</v>
      </c>
      <c r="I24" s="526">
        <f t="shared" si="1"/>
        <v>0.17</v>
      </c>
      <c r="J24" s="528">
        <f>SUMIFS('Capitalisation '!$I$5:$I$17,'Capitalisation '!$J$5:$J$17,"2026-27",'Capitalisation '!$F$5:$F$17,'F4.1 (N) New'!$C24)</f>
        <v>0</v>
      </c>
      <c r="K24" s="524"/>
      <c r="L24" s="478"/>
      <c r="M24" s="524">
        <f t="shared" si="2"/>
        <v>0.17</v>
      </c>
      <c r="N24" s="526">
        <f t="shared" si="3"/>
        <v>0.17</v>
      </c>
      <c r="O24" s="528">
        <f>SUMIFS('Capitalisation '!$I$5:$I$17,'Capitalisation '!$J$5:$J$17,"2027-28",'Capitalisation '!$F$5:$F$17,'F4.1 (N) New'!$C24)</f>
        <v>0</v>
      </c>
      <c r="P24" s="237"/>
      <c r="Q24" s="478"/>
      <c r="R24" s="524">
        <f t="shared" si="4"/>
        <v>0.17</v>
      </c>
      <c r="S24" s="526">
        <f t="shared" si="5"/>
        <v>0.17</v>
      </c>
      <c r="T24" s="528">
        <f>SUMIFS('Capitalisation '!$I$5:$I$17,'Capitalisation '!$J$5:$J$17,"2028-29",'Capitalisation '!$F$5:$F$17,'F4.1 (N) New'!$C24)</f>
        <v>0</v>
      </c>
      <c r="U24" s="237"/>
      <c r="V24" s="478"/>
      <c r="W24" s="524">
        <f t="shared" si="6"/>
        <v>0.17</v>
      </c>
      <c r="X24" s="526">
        <f t="shared" si="7"/>
        <v>0.17</v>
      </c>
      <c r="Y24" s="528">
        <f>SUMIFS('Capitalisation '!$I$5:$I$17,'Capitalisation '!$J$5:$J$17,"2029-30",'Capitalisation '!$F$5:$F$17,'F4.1 (N) New'!$C24)</f>
        <v>0</v>
      </c>
      <c r="Z24" s="237"/>
      <c r="AA24" s="478"/>
      <c r="AB24" s="524">
        <f t="shared" si="8"/>
        <v>0.17</v>
      </c>
      <c r="AC24" s="1"/>
      <c r="AD24" s="1"/>
      <c r="AE24" s="1"/>
      <c r="AF24" s="1"/>
      <c r="AG24" s="1"/>
      <c r="AH24" s="1"/>
      <c r="AI24" s="1"/>
      <c r="AJ24" s="1"/>
      <c r="AK24" s="1"/>
    </row>
    <row r="25" spans="1:37" x14ac:dyDescent="0.25">
      <c r="A25" s="1"/>
      <c r="B25" s="11"/>
      <c r="C25" s="10"/>
      <c r="D25" s="10"/>
      <c r="E25" s="10"/>
      <c r="F25" s="10"/>
      <c r="G25" s="10"/>
      <c r="H25" s="10"/>
      <c r="I25" s="10"/>
      <c r="J25" s="10"/>
      <c r="K25" s="10"/>
      <c r="L25" s="496"/>
      <c r="M25" s="10"/>
      <c r="N25" s="11"/>
      <c r="O25" s="498"/>
      <c r="P25" s="498"/>
      <c r="Q25" s="496"/>
      <c r="R25" s="11"/>
      <c r="S25" s="11"/>
      <c r="T25" s="498"/>
      <c r="U25" s="498"/>
      <c r="V25" s="496"/>
      <c r="W25" s="11"/>
      <c r="X25" s="11"/>
      <c r="Y25" s="498"/>
      <c r="Z25" s="498"/>
      <c r="AA25" s="496"/>
      <c r="AB25" s="11"/>
      <c r="AC25" s="1"/>
      <c r="AD25" s="1"/>
      <c r="AE25" s="1"/>
      <c r="AF25" s="1"/>
      <c r="AG25" s="1"/>
      <c r="AH25" s="1"/>
      <c r="AI25" s="1"/>
      <c r="AJ25" s="1"/>
      <c r="AK25" s="1"/>
    </row>
    <row r="26" spans="1:37" x14ac:dyDescent="0.25">
      <c r="A26" s="1"/>
      <c r="B26" s="499"/>
      <c r="C26" s="500" t="s">
        <v>180</v>
      </c>
      <c r="D26" s="594">
        <f t="shared" ref="D26:H26" si="10">SUM(D19:D25)</f>
        <v>0</v>
      </c>
      <c r="E26" s="594">
        <f t="shared" si="10"/>
        <v>10.1875</v>
      </c>
      <c r="F26" s="594">
        <f t="shared" si="10"/>
        <v>0</v>
      </c>
      <c r="G26" s="594">
        <f t="shared" si="10"/>
        <v>0</v>
      </c>
      <c r="H26" s="594">
        <f t="shared" si="10"/>
        <v>10.1875</v>
      </c>
      <c r="I26" s="594">
        <f>SUM(I19:I25)</f>
        <v>10.1875</v>
      </c>
      <c r="J26" s="594">
        <f t="shared" ref="J26:AB26" si="11">SUM(J19:J25)</f>
        <v>0.4</v>
      </c>
      <c r="K26" s="594">
        <f t="shared" si="11"/>
        <v>0</v>
      </c>
      <c r="L26" s="594">
        <f t="shared" si="11"/>
        <v>0</v>
      </c>
      <c r="M26" s="594">
        <f t="shared" si="11"/>
        <v>10.5875</v>
      </c>
      <c r="N26" s="594">
        <f t="shared" si="11"/>
        <v>10.5875</v>
      </c>
      <c r="O26" s="594">
        <f t="shared" si="11"/>
        <v>3.18</v>
      </c>
      <c r="P26" s="594">
        <f t="shared" si="11"/>
        <v>0</v>
      </c>
      <c r="Q26" s="594">
        <f t="shared" si="11"/>
        <v>0</v>
      </c>
      <c r="R26" s="594">
        <f t="shared" si="11"/>
        <v>13.7675</v>
      </c>
      <c r="S26" s="594">
        <f t="shared" si="11"/>
        <v>13.7675</v>
      </c>
      <c r="T26" s="594">
        <f t="shared" si="11"/>
        <v>1.1337600000000001</v>
      </c>
      <c r="U26" s="594">
        <f t="shared" si="11"/>
        <v>0</v>
      </c>
      <c r="V26" s="594">
        <f t="shared" si="11"/>
        <v>0</v>
      </c>
      <c r="W26" s="594">
        <f t="shared" si="11"/>
        <v>14.901260000000001</v>
      </c>
      <c r="X26" s="594">
        <f t="shared" si="11"/>
        <v>14.901260000000001</v>
      </c>
      <c r="Y26" s="594">
        <f t="shared" si="11"/>
        <v>0</v>
      </c>
      <c r="Z26" s="594">
        <f t="shared" si="11"/>
        <v>0</v>
      </c>
      <c r="AA26" s="594">
        <f t="shared" si="11"/>
        <v>0</v>
      </c>
      <c r="AB26" s="594">
        <f t="shared" si="11"/>
        <v>14.901260000000001</v>
      </c>
      <c r="AC26" s="1"/>
      <c r="AD26" s="1"/>
      <c r="AE26" s="1"/>
      <c r="AF26" s="1"/>
      <c r="AG26" s="501"/>
      <c r="AH26" s="501"/>
      <c r="AI26" s="501"/>
      <c r="AJ26" s="501"/>
      <c r="AK26" s="1"/>
    </row>
    <row r="27" spans="1:37" x14ac:dyDescent="0.25">
      <c r="A27" s="1103"/>
      <c r="B27" s="1103"/>
      <c r="C27" s="501"/>
      <c r="D27" s="501"/>
      <c r="E27" s="501"/>
      <c r="F27" s="501"/>
      <c r="G27" s="501"/>
      <c r="H27" s="501"/>
      <c r="I27" s="501"/>
      <c r="J27" s="501"/>
      <c r="K27" s="501"/>
      <c r="L27" s="501"/>
      <c r="M27" s="501"/>
      <c r="N27" s="501"/>
      <c r="O27" s="501"/>
      <c r="P27" s="501"/>
      <c r="Q27" s="501"/>
      <c r="R27" s="501"/>
      <c r="S27" s="501"/>
      <c r="T27" s="501"/>
      <c r="U27" s="1"/>
      <c r="V27" s="1"/>
      <c r="W27" s="1"/>
      <c r="X27" s="1"/>
      <c r="Y27" s="1"/>
      <c r="Z27" s="1"/>
      <c r="AA27" s="1"/>
      <c r="AB27" s="1"/>
      <c r="AC27" s="1"/>
      <c r="AD27" s="1"/>
      <c r="AE27" s="1"/>
      <c r="AF27" s="1"/>
      <c r="AG27" s="1"/>
      <c r="AH27" s="1"/>
      <c r="AI27" s="1"/>
      <c r="AJ27" s="1"/>
      <c r="AK27" s="1"/>
    </row>
    <row r="28" spans="1:37" x14ac:dyDescent="0.25">
      <c r="A28" s="1103"/>
      <c r="B28" s="1103"/>
      <c r="C28" s="501"/>
      <c r="D28" s="501"/>
      <c r="E28" s="501"/>
      <c r="F28" s="501"/>
      <c r="G28" s="501"/>
      <c r="H28" s="501"/>
      <c r="I28" s="501"/>
      <c r="J28" s="501"/>
      <c r="K28" s="501"/>
      <c r="L28" s="501"/>
      <c r="M28" s="501"/>
      <c r="N28" s="501"/>
      <c r="O28" s="501"/>
      <c r="P28" s="501"/>
      <c r="Q28" s="501"/>
      <c r="R28" s="501"/>
      <c r="S28" s="501"/>
      <c r="T28" s="501"/>
      <c r="U28" s="1"/>
      <c r="V28" s="1"/>
      <c r="W28" s="1"/>
      <c r="X28" s="1"/>
      <c r="Y28" s="1"/>
      <c r="Z28" s="1"/>
      <c r="AA28" s="1"/>
      <c r="AB28" s="1"/>
      <c r="AC28" s="1"/>
      <c r="AD28" s="1"/>
      <c r="AE28" s="1"/>
      <c r="AF28" s="1"/>
      <c r="AG28" s="1"/>
      <c r="AH28" s="1"/>
      <c r="AI28" s="1"/>
      <c r="AJ28" s="1"/>
      <c r="AK28" s="1"/>
    </row>
    <row r="29" spans="1:37" x14ac:dyDescent="0.25">
      <c r="A29" s="1103"/>
      <c r="B29" s="1103"/>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row>
    <row r="30" spans="1:37" x14ac:dyDescent="0.25">
      <c r="A30" s="1"/>
      <c r="B30" s="1104" t="s">
        <v>390</v>
      </c>
      <c r="C30" s="1104"/>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row>
    <row r="31" spans="1:37" x14ac:dyDescent="0.25">
      <c r="A31" s="1103"/>
      <c r="B31" s="1103"/>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9"/>
      <c r="AH31" s="9"/>
      <c r="AI31" s="9"/>
      <c r="AJ31" s="9"/>
      <c r="AK31" s="9"/>
    </row>
    <row r="32" spans="1:37" x14ac:dyDescent="0.25">
      <c r="A32" s="1103"/>
      <c r="B32" s="1103"/>
      <c r="C32" s="1"/>
      <c r="D32" s="1"/>
      <c r="E32" s="1"/>
      <c r="F32" s="1"/>
      <c r="G32" s="1"/>
      <c r="H32" s="1"/>
      <c r="I32" s="1"/>
      <c r="J32" s="1"/>
      <c r="K32" s="1"/>
      <c r="L32" s="1"/>
      <c r="M32" s="1"/>
      <c r="N32" s="1"/>
      <c r="O32" s="8"/>
      <c r="P32" s="1"/>
      <c r="Q32" s="1"/>
      <c r="R32" s="8"/>
      <c r="S32" s="8"/>
      <c r="T32" s="1"/>
      <c r="U32" s="1"/>
      <c r="V32" s="1"/>
      <c r="W32" s="7"/>
      <c r="X32" s="1"/>
      <c r="Y32" s="1"/>
      <c r="Z32" s="1"/>
      <c r="AA32" s="1"/>
      <c r="AB32" s="1"/>
      <c r="AC32" s="1"/>
      <c r="AD32" s="7"/>
      <c r="AE32" s="1"/>
      <c r="AF32" s="1"/>
      <c r="AG32" s="8"/>
      <c r="AH32" s="8"/>
      <c r="AI32" s="8"/>
      <c r="AJ32" s="8"/>
      <c r="AK32" s="8"/>
    </row>
    <row r="33" spans="1:37" x14ac:dyDescent="0.25">
      <c r="A33" s="1103"/>
      <c r="B33" s="1103"/>
      <c r="C33" s="502"/>
      <c r="D33" s="502"/>
      <c r="E33" s="502"/>
      <c r="F33" s="502"/>
      <c r="G33" s="502"/>
      <c r="H33" s="502"/>
      <c r="I33" s="502"/>
      <c r="J33" s="502"/>
      <c r="K33" s="502"/>
      <c r="L33" s="502"/>
      <c r="M33" s="502"/>
      <c r="N33" s="501"/>
      <c r="O33" s="501"/>
      <c r="P33" s="501"/>
      <c r="Q33" s="501"/>
      <c r="R33" s="501"/>
      <c r="S33" s="501"/>
      <c r="T33" s="501"/>
      <c r="U33" s="501"/>
      <c r="V33" s="501"/>
      <c r="W33" s="501"/>
      <c r="X33" s="1"/>
      <c r="Y33" s="497"/>
      <c r="Z33" s="497"/>
      <c r="AA33" s="497"/>
      <c r="AB33" s="1"/>
      <c r="AC33" s="1"/>
      <c r="AD33" s="1"/>
      <c r="AE33" s="1"/>
      <c r="AF33" s="1"/>
      <c r="AG33" s="501"/>
      <c r="AH33" s="501"/>
      <c r="AI33" s="501"/>
      <c r="AJ33" s="501"/>
      <c r="AK33" s="1"/>
    </row>
    <row r="34" spans="1:37" x14ac:dyDescent="0.25">
      <c r="A34" s="1"/>
      <c r="B34" s="1105" t="s">
        <v>420</v>
      </c>
      <c r="C34" s="1105"/>
      <c r="D34" s="1105"/>
      <c r="E34" s="1105"/>
      <c r="F34" s="1105"/>
      <c r="G34" s="1105"/>
      <c r="H34" s="1105"/>
      <c r="I34" s="503"/>
      <c r="J34" s="503"/>
      <c r="K34" s="503"/>
      <c r="L34" s="503"/>
      <c r="M34" s="503"/>
      <c r="N34" s="504"/>
      <c r="O34" s="504"/>
      <c r="P34" s="501"/>
      <c r="Q34" s="501"/>
      <c r="R34" s="501"/>
      <c r="S34" s="501"/>
      <c r="T34" s="501"/>
      <c r="U34" s="501"/>
      <c r="V34" s="501"/>
      <c r="W34" s="501"/>
      <c r="X34" s="1"/>
      <c r="Y34" s="497"/>
      <c r="Z34" s="497"/>
      <c r="AA34" s="497"/>
      <c r="AB34" s="1"/>
      <c r="AC34" s="1"/>
      <c r="AD34" s="1"/>
      <c r="AE34" s="1"/>
      <c r="AF34" s="1"/>
      <c r="AG34" s="501"/>
      <c r="AH34" s="501"/>
      <c r="AI34" s="501"/>
      <c r="AJ34" s="501"/>
      <c r="AK34" s="1"/>
    </row>
    <row r="35" spans="1:37" ht="25.95" customHeight="1" x14ac:dyDescent="0.25">
      <c r="A35" s="1"/>
      <c r="B35" s="1116" t="s">
        <v>396</v>
      </c>
      <c r="C35" s="1116"/>
      <c r="D35" s="1116"/>
      <c r="E35" s="1116"/>
      <c r="F35" s="1116"/>
      <c r="G35" s="1116"/>
      <c r="H35" s="1116"/>
      <c r="I35" s="503"/>
      <c r="J35" s="503"/>
      <c r="K35" s="503"/>
      <c r="L35" s="503"/>
      <c r="M35" s="503"/>
      <c r="N35" s="504"/>
      <c r="O35" s="504"/>
      <c r="P35" s="501"/>
      <c r="Q35" s="501"/>
      <c r="R35" s="501"/>
      <c r="S35" s="501"/>
      <c r="T35" s="501"/>
      <c r="U35" s="501"/>
      <c r="V35" s="501"/>
      <c r="W35" s="501"/>
      <c r="X35" s="1"/>
      <c r="Y35" s="497"/>
      <c r="Z35" s="497"/>
      <c r="AA35" s="497"/>
      <c r="AB35" s="1"/>
      <c r="AC35" s="1"/>
      <c r="AD35" s="1"/>
      <c r="AE35" s="1"/>
      <c r="AF35" s="1"/>
      <c r="AG35" s="501"/>
      <c r="AH35" s="501"/>
      <c r="AI35" s="501"/>
      <c r="AJ35" s="501"/>
      <c r="AK35" s="1"/>
    </row>
    <row r="36" spans="1:37" x14ac:dyDescent="0.25">
      <c r="A36" s="1103"/>
      <c r="B36" s="1103"/>
      <c r="C36" s="502"/>
      <c r="D36" s="502"/>
      <c r="E36" s="502"/>
      <c r="F36" s="502"/>
      <c r="G36" s="502"/>
      <c r="H36" s="502"/>
      <c r="I36" s="502"/>
      <c r="J36" s="502"/>
      <c r="K36" s="502"/>
      <c r="L36" s="502"/>
      <c r="M36" s="502"/>
      <c r="N36" s="501"/>
      <c r="O36" s="501"/>
      <c r="P36" s="501"/>
      <c r="Q36" s="501"/>
      <c r="R36" s="501"/>
      <c r="S36" s="501"/>
      <c r="T36" s="501"/>
      <c r="U36" s="501"/>
      <c r="V36" s="501"/>
      <c r="W36" s="501"/>
      <c r="X36" s="501"/>
      <c r="Y36" s="501"/>
      <c r="Z36" s="501"/>
      <c r="AA36" s="501"/>
      <c r="AB36" s="501"/>
      <c r="AC36" s="501"/>
      <c r="AD36" s="501"/>
      <c r="AE36" s="501"/>
      <c r="AF36" s="1"/>
      <c r="AG36" s="501"/>
      <c r="AH36" s="501"/>
      <c r="AI36" s="501"/>
      <c r="AJ36" s="501"/>
      <c r="AK36" s="1"/>
    </row>
    <row r="37" spans="1:37" x14ac:dyDescent="0.25">
      <c r="A37" s="1103"/>
      <c r="B37" s="1103"/>
      <c r="C37" s="502"/>
      <c r="D37" s="502"/>
      <c r="E37" s="502"/>
      <c r="F37" s="502"/>
      <c r="G37" s="502"/>
      <c r="H37" s="502"/>
      <c r="I37" s="502"/>
      <c r="J37" s="502"/>
      <c r="K37" s="502"/>
      <c r="L37" s="502"/>
      <c r="M37" s="502"/>
      <c r="N37" s="501"/>
      <c r="O37" s="501"/>
      <c r="P37" s="501"/>
      <c r="Q37" s="501"/>
      <c r="R37" s="501"/>
      <c r="S37" s="501"/>
      <c r="T37" s="501"/>
      <c r="U37" s="501"/>
      <c r="V37" s="501"/>
      <c r="X37" s="501"/>
      <c r="Y37" s="501"/>
      <c r="Z37" s="501"/>
      <c r="AA37" s="501"/>
      <c r="AB37" s="7" t="s">
        <v>73</v>
      </c>
      <c r="AC37" s="501"/>
      <c r="AD37" s="501"/>
      <c r="AE37" s="501"/>
      <c r="AF37" s="501"/>
      <c r="AG37" s="1"/>
      <c r="AH37" s="1"/>
      <c r="AI37" s="1"/>
      <c r="AJ37" s="1"/>
      <c r="AK37" s="1"/>
    </row>
    <row r="38" spans="1:37" ht="13.95" customHeight="1" x14ac:dyDescent="0.25">
      <c r="A38" s="1"/>
      <c r="B38" s="1107" t="s">
        <v>1</v>
      </c>
      <c r="C38" s="1107" t="s">
        <v>74</v>
      </c>
      <c r="D38" s="1097" t="s">
        <v>87</v>
      </c>
      <c r="E38" s="1098"/>
      <c r="F38" s="1098"/>
      <c r="G38" s="1098"/>
      <c r="H38" s="1099"/>
      <c r="I38" s="1097" t="s">
        <v>88</v>
      </c>
      <c r="J38" s="1098"/>
      <c r="K38" s="1098"/>
      <c r="L38" s="1098"/>
      <c r="M38" s="1099"/>
      <c r="N38" s="1097" t="s">
        <v>89</v>
      </c>
      <c r="O38" s="1098"/>
      <c r="P38" s="1098"/>
      <c r="Q38" s="1098"/>
      <c r="R38" s="1099"/>
      <c r="S38" s="1097" t="s">
        <v>90</v>
      </c>
      <c r="T38" s="1098"/>
      <c r="U38" s="1098"/>
      <c r="V38" s="1098"/>
      <c r="W38" s="1099"/>
      <c r="X38" s="1097" t="s">
        <v>91</v>
      </c>
      <c r="Y38" s="1098"/>
      <c r="Z38" s="1098"/>
      <c r="AA38" s="1098"/>
      <c r="AB38" s="1099"/>
      <c r="AC38" s="1"/>
      <c r="AD38" s="1"/>
      <c r="AE38" s="1"/>
      <c r="AF38" s="1"/>
      <c r="AG38" s="1"/>
      <c r="AH38" s="1"/>
      <c r="AI38" s="1"/>
      <c r="AJ38" s="1"/>
      <c r="AK38" s="1"/>
    </row>
    <row r="39" spans="1:37" ht="13.95" customHeight="1" x14ac:dyDescent="0.25">
      <c r="A39" s="1"/>
      <c r="B39" s="1108"/>
      <c r="C39" s="1108"/>
      <c r="D39" s="1113" t="s">
        <v>103</v>
      </c>
      <c r="E39" s="1114"/>
      <c r="F39" s="1114"/>
      <c r="G39" s="1114"/>
      <c r="H39" s="1115"/>
      <c r="I39" s="1113" t="s">
        <v>103</v>
      </c>
      <c r="J39" s="1114"/>
      <c r="K39" s="1114"/>
      <c r="L39" s="1114"/>
      <c r="M39" s="1115"/>
      <c r="N39" s="1113" t="s">
        <v>103</v>
      </c>
      <c r="O39" s="1114"/>
      <c r="P39" s="1114"/>
      <c r="Q39" s="1114"/>
      <c r="R39" s="1115"/>
      <c r="S39" s="1113" t="s">
        <v>103</v>
      </c>
      <c r="T39" s="1114"/>
      <c r="U39" s="1114"/>
      <c r="V39" s="1114"/>
      <c r="W39" s="1115"/>
      <c r="X39" s="1113" t="s">
        <v>103</v>
      </c>
      <c r="Y39" s="1114"/>
      <c r="Z39" s="1114"/>
      <c r="AA39" s="1114"/>
      <c r="AB39" s="1115"/>
      <c r="AC39" s="1"/>
      <c r="AD39" s="1"/>
      <c r="AE39" s="1"/>
      <c r="AF39" s="1"/>
      <c r="AG39" s="1"/>
      <c r="AH39" s="1"/>
      <c r="AI39" s="1"/>
      <c r="AJ39" s="1"/>
      <c r="AK39" s="1"/>
    </row>
    <row r="40" spans="1:37" ht="55.2" x14ac:dyDescent="0.25">
      <c r="A40" s="1"/>
      <c r="B40" s="1109"/>
      <c r="C40" s="1109"/>
      <c r="D40" s="494" t="s">
        <v>392</v>
      </c>
      <c r="E40" s="494" t="s">
        <v>361</v>
      </c>
      <c r="F40" s="494" t="s">
        <v>393</v>
      </c>
      <c r="G40" s="494" t="s">
        <v>401</v>
      </c>
      <c r="H40" s="494" t="s">
        <v>394</v>
      </c>
      <c r="I40" s="494" t="s">
        <v>392</v>
      </c>
      <c r="J40" s="494" t="s">
        <v>361</v>
      </c>
      <c r="K40" s="494" t="s">
        <v>393</v>
      </c>
      <c r="L40" s="494" t="s">
        <v>401</v>
      </c>
      <c r="M40" s="494" t="s">
        <v>394</v>
      </c>
      <c r="N40" s="494" t="s">
        <v>392</v>
      </c>
      <c r="O40" s="494" t="s">
        <v>361</v>
      </c>
      <c r="P40" s="494" t="s">
        <v>393</v>
      </c>
      <c r="Q40" s="494" t="s">
        <v>401</v>
      </c>
      <c r="R40" s="494" t="s">
        <v>394</v>
      </c>
      <c r="S40" s="494" t="s">
        <v>392</v>
      </c>
      <c r="T40" s="494" t="s">
        <v>361</v>
      </c>
      <c r="U40" s="494" t="s">
        <v>393</v>
      </c>
      <c r="V40" s="494" t="s">
        <v>401</v>
      </c>
      <c r="W40" s="494" t="s">
        <v>394</v>
      </c>
      <c r="X40" s="494" t="s">
        <v>392</v>
      </c>
      <c r="Y40" s="494" t="s">
        <v>361</v>
      </c>
      <c r="Z40" s="494" t="s">
        <v>393</v>
      </c>
      <c r="AA40" s="494" t="s">
        <v>401</v>
      </c>
      <c r="AB40" s="494" t="s">
        <v>394</v>
      </c>
      <c r="AC40" s="1"/>
      <c r="AD40" s="1"/>
      <c r="AE40" s="418" t="s">
        <v>772</v>
      </c>
      <c r="AF40" s="1"/>
      <c r="AG40" s="1"/>
      <c r="AH40" s="1"/>
      <c r="AI40" s="1"/>
      <c r="AJ40" s="1"/>
      <c r="AK40" s="1"/>
    </row>
    <row r="41" spans="1:37" ht="27.6" x14ac:dyDescent="0.25">
      <c r="A41" s="1"/>
      <c r="B41" s="494"/>
      <c r="C41" s="494"/>
      <c r="D41" s="494" t="s">
        <v>92</v>
      </c>
      <c r="E41" s="494" t="s">
        <v>93</v>
      </c>
      <c r="F41" s="494" t="s">
        <v>191</v>
      </c>
      <c r="G41" s="494" t="s">
        <v>95</v>
      </c>
      <c r="H41" s="494" t="s">
        <v>402</v>
      </c>
      <c r="I41" s="494" t="s">
        <v>96</v>
      </c>
      <c r="J41" s="494" t="s">
        <v>365</v>
      </c>
      <c r="K41" s="494" t="s">
        <v>98</v>
      </c>
      <c r="L41" s="494" t="s">
        <v>99</v>
      </c>
      <c r="M41" s="494" t="s">
        <v>403</v>
      </c>
      <c r="N41" s="494" t="s">
        <v>367</v>
      </c>
      <c r="O41" s="494" t="s">
        <v>369</v>
      </c>
      <c r="P41" s="494" t="s">
        <v>370</v>
      </c>
      <c r="Q41" s="494" t="s">
        <v>371</v>
      </c>
      <c r="R41" s="494" t="s">
        <v>404</v>
      </c>
      <c r="S41" s="494" t="s">
        <v>374</v>
      </c>
      <c r="T41" s="494" t="s">
        <v>375</v>
      </c>
      <c r="U41" s="494" t="s">
        <v>376</v>
      </c>
      <c r="V41" s="494" t="s">
        <v>378</v>
      </c>
      <c r="W41" s="494" t="s">
        <v>405</v>
      </c>
      <c r="X41" s="494" t="s">
        <v>379</v>
      </c>
      <c r="Y41" s="494" t="s">
        <v>380</v>
      </c>
      <c r="Z41" s="494" t="s">
        <v>382</v>
      </c>
      <c r="AA41" s="494" t="s">
        <v>383</v>
      </c>
      <c r="AB41" s="494" t="s">
        <v>406</v>
      </c>
      <c r="AC41" s="1"/>
      <c r="AD41" s="1"/>
      <c r="AF41" s="1"/>
      <c r="AG41" s="1"/>
      <c r="AH41" s="1"/>
      <c r="AI41" s="1"/>
      <c r="AJ41" s="1"/>
      <c r="AK41" s="1"/>
    </row>
    <row r="42" spans="1:37" x14ac:dyDescent="0.25">
      <c r="A42" s="1"/>
      <c r="B42" s="468">
        <v>1</v>
      </c>
      <c r="C42" s="469" t="s">
        <v>732</v>
      </c>
      <c r="D42" s="495"/>
      <c r="E42" s="596">
        <f>+D19*$AE42+E19/2*$AE42</f>
        <v>0</v>
      </c>
      <c r="F42" s="495"/>
      <c r="G42" s="495"/>
      <c r="H42" s="524">
        <f>+D42+E42-F42-G42</f>
        <v>0</v>
      </c>
      <c r="I42" s="526">
        <f>+H42</f>
        <v>0</v>
      </c>
      <c r="J42" s="596">
        <f>+I19*$AE42+J19/2*$AE42</f>
        <v>0</v>
      </c>
      <c r="K42" s="524"/>
      <c r="L42" s="478"/>
      <c r="M42" s="524">
        <f>+I42+J42-K42-L42</f>
        <v>0</v>
      </c>
      <c r="N42" s="596">
        <f>+M19*$AE42+N19/2*$AE42</f>
        <v>0</v>
      </c>
      <c r="O42" s="596">
        <f>+N19*$AE42+O19/2*$AE42</f>
        <v>0</v>
      </c>
      <c r="P42" s="237"/>
      <c r="Q42" s="478"/>
      <c r="R42" s="524">
        <f>+N42+O42-P42-Q42</f>
        <v>0</v>
      </c>
      <c r="S42" s="526">
        <f>+R42</f>
        <v>0</v>
      </c>
      <c r="T42" s="596">
        <f>+S19*$AE42+T19/2*$AE42</f>
        <v>0</v>
      </c>
      <c r="U42" s="237"/>
      <c r="V42" s="478"/>
      <c r="W42" s="524">
        <f>+S42+T42-U42-V42</f>
        <v>0</v>
      </c>
      <c r="X42" s="526">
        <f>+W42</f>
        <v>0</v>
      </c>
      <c r="Y42" s="596">
        <f>+X19*$AE42+Y19/2*$AE42</f>
        <v>0</v>
      </c>
      <c r="Z42" s="237"/>
      <c r="AA42" s="478"/>
      <c r="AB42" s="524">
        <f>+X42+Y42-Z42-AA42</f>
        <v>0</v>
      </c>
      <c r="AC42" s="1"/>
      <c r="AD42" s="1"/>
      <c r="AE42" s="712">
        <v>0</v>
      </c>
      <c r="AF42" s="1"/>
      <c r="AG42" s="1"/>
      <c r="AH42" s="1"/>
      <c r="AI42" s="1"/>
      <c r="AJ42" s="1"/>
      <c r="AK42" s="1"/>
    </row>
    <row r="43" spans="1:37" x14ac:dyDescent="0.25">
      <c r="A43" s="1"/>
      <c r="B43" s="468">
        <f>+B42+1</f>
        <v>2</v>
      </c>
      <c r="C43" s="469" t="s">
        <v>265</v>
      </c>
      <c r="D43" s="495"/>
      <c r="E43" s="596">
        <f t="shared" ref="E43:E47" si="12">+D20*$AE43+E20/2*$AE43</f>
        <v>0.20983950000000001</v>
      </c>
      <c r="F43" s="495"/>
      <c r="G43" s="495"/>
      <c r="H43" s="524">
        <f t="shared" ref="H43:H47" si="13">+D43+E43-F43-G43</f>
        <v>0.20983950000000001</v>
      </c>
      <c r="I43" s="526">
        <f t="shared" ref="I43:I47" si="14">+H43</f>
        <v>0.20983950000000001</v>
      </c>
      <c r="J43" s="596">
        <f t="shared" ref="J43:J47" si="15">+I20*$AE43+J20/2*$AE43</f>
        <v>0.42811900000000003</v>
      </c>
      <c r="K43" s="524"/>
      <c r="L43" s="478"/>
      <c r="M43" s="524">
        <f t="shared" ref="M43:M47" si="16">+I43+J43-K43-L43</f>
        <v>0.63795850000000009</v>
      </c>
      <c r="N43" s="596">
        <f t="shared" ref="N43:O47" si="17">+M20*$AE43+N20/2*$AE43</f>
        <v>0.6548385000000001</v>
      </c>
      <c r="O43" s="596">
        <f t="shared" si="17"/>
        <v>0.50365700000000002</v>
      </c>
      <c r="P43" s="237"/>
      <c r="Q43" s="478"/>
      <c r="R43" s="524">
        <f t="shared" ref="R43:R47" si="18">+N43+O43-P43-Q43</f>
        <v>1.1584955000000001</v>
      </c>
      <c r="S43" s="526">
        <f t="shared" ref="S43:S47" si="19">+R43</f>
        <v>1.1584955000000001</v>
      </c>
      <c r="T43" s="596">
        <f t="shared" ref="T43:T47" si="20">+S20*$AE43+T20/2*$AE43</f>
        <v>0.59467733600000006</v>
      </c>
      <c r="U43" s="237"/>
      <c r="V43" s="478"/>
      <c r="W43" s="524">
        <f t="shared" ref="W43:W47" si="21">+S43+T43-U43-V43</f>
        <v>1.7531728360000001</v>
      </c>
      <c r="X43" s="526">
        <f t="shared" ref="X43:X47" si="22">+W43</f>
        <v>1.7531728360000001</v>
      </c>
      <c r="Y43" s="596">
        <f t="shared" ref="Y43" si="23">+X20*$AE43+Y20/2*$AE43</f>
        <v>0.6185996720000001</v>
      </c>
      <c r="Z43" s="237"/>
      <c r="AA43" s="478"/>
      <c r="AB43" s="524">
        <f t="shared" ref="AB43:AB47" si="24">+X43+Y43-Z43-AA43</f>
        <v>2.3717725080000003</v>
      </c>
      <c r="AC43" s="1"/>
      <c r="AD43" s="1"/>
      <c r="AE43" s="712">
        <v>4.2200000000000001E-2</v>
      </c>
      <c r="AF43" s="1"/>
      <c r="AG43" s="1"/>
      <c r="AH43" s="1"/>
      <c r="AI43" s="1"/>
      <c r="AJ43" s="1"/>
      <c r="AK43" s="1"/>
    </row>
    <row r="44" spans="1:37" x14ac:dyDescent="0.25">
      <c r="A44" s="1"/>
      <c r="B44" s="468">
        <f t="shared" ref="B44:B47" si="25">+B43+1</f>
        <v>3</v>
      </c>
      <c r="C44" s="238" t="s">
        <v>272</v>
      </c>
      <c r="D44" s="495"/>
      <c r="E44" s="596">
        <f t="shared" si="12"/>
        <v>1.345125E-3</v>
      </c>
      <c r="F44" s="495"/>
      <c r="G44" s="495"/>
      <c r="H44" s="524">
        <f t="shared" si="13"/>
        <v>1.345125E-3</v>
      </c>
      <c r="I44" s="526">
        <f t="shared" si="14"/>
        <v>1.345125E-3</v>
      </c>
      <c r="J44" s="596">
        <f t="shared" si="15"/>
        <v>2.6902499999999999E-3</v>
      </c>
      <c r="K44" s="524"/>
      <c r="L44" s="479"/>
      <c r="M44" s="524">
        <f t="shared" si="16"/>
        <v>4.0353749999999999E-3</v>
      </c>
      <c r="N44" s="596">
        <f t="shared" si="17"/>
        <v>4.0353749999999999E-3</v>
      </c>
      <c r="O44" s="596">
        <f t="shared" si="17"/>
        <v>2.6902499999999999E-3</v>
      </c>
      <c r="P44" s="237"/>
      <c r="Q44" s="479"/>
      <c r="R44" s="524">
        <f t="shared" si="18"/>
        <v>6.7256249999999998E-3</v>
      </c>
      <c r="S44" s="526">
        <f t="shared" si="19"/>
        <v>6.7256249999999998E-3</v>
      </c>
      <c r="T44" s="596">
        <f t="shared" si="20"/>
        <v>2.6902499999999999E-3</v>
      </c>
      <c r="U44" s="237"/>
      <c r="V44" s="479"/>
      <c r="W44" s="524">
        <f t="shared" si="21"/>
        <v>9.4158750000000006E-3</v>
      </c>
      <c r="X44" s="526">
        <f t="shared" si="22"/>
        <v>9.4158750000000006E-3</v>
      </c>
      <c r="Y44" s="596">
        <f t="shared" ref="Y44" si="26">+X21*$AE44+Y21/2*$AE44</f>
        <v>2.6902499999999999E-3</v>
      </c>
      <c r="Z44" s="237"/>
      <c r="AA44" s="479"/>
      <c r="AB44" s="524">
        <f t="shared" si="24"/>
        <v>1.2106125000000001E-2</v>
      </c>
      <c r="AC44" s="1"/>
      <c r="AD44" s="1"/>
      <c r="AE44" s="712">
        <v>6.3299999999999995E-2</v>
      </c>
      <c r="AF44" s="1"/>
      <c r="AG44" s="1"/>
      <c r="AH44" s="1"/>
      <c r="AI44" s="1"/>
      <c r="AJ44" s="1"/>
      <c r="AK44" s="1"/>
    </row>
    <row r="45" spans="1:37" x14ac:dyDescent="0.25">
      <c r="A45" s="1"/>
      <c r="B45" s="468">
        <f t="shared" si="25"/>
        <v>4</v>
      </c>
      <c r="C45" s="469" t="s">
        <v>769</v>
      </c>
      <c r="D45" s="495"/>
      <c r="E45" s="596">
        <f t="shared" si="12"/>
        <v>2.2499999999999998E-3</v>
      </c>
      <c r="F45" s="495"/>
      <c r="G45" s="495"/>
      <c r="H45" s="524">
        <f t="shared" si="13"/>
        <v>2.2499999999999998E-3</v>
      </c>
      <c r="I45" s="526">
        <f t="shared" si="14"/>
        <v>2.2499999999999998E-3</v>
      </c>
      <c r="J45" s="596">
        <f t="shared" si="15"/>
        <v>4.4999999999999997E-3</v>
      </c>
      <c r="K45" s="524"/>
      <c r="L45" s="478"/>
      <c r="M45" s="524">
        <f t="shared" si="16"/>
        <v>6.7499999999999991E-3</v>
      </c>
      <c r="N45" s="596">
        <f t="shared" si="17"/>
        <v>6.7499999999999991E-3</v>
      </c>
      <c r="O45" s="596">
        <f t="shared" si="17"/>
        <v>4.4999999999999997E-3</v>
      </c>
      <c r="P45" s="237"/>
      <c r="Q45" s="478"/>
      <c r="R45" s="524">
        <f t="shared" si="18"/>
        <v>1.125E-2</v>
      </c>
      <c r="S45" s="526">
        <f t="shared" si="19"/>
        <v>1.125E-2</v>
      </c>
      <c r="T45" s="596">
        <f t="shared" si="20"/>
        <v>4.4999999999999997E-3</v>
      </c>
      <c r="U45" s="237"/>
      <c r="V45" s="478"/>
      <c r="W45" s="524">
        <f t="shared" si="21"/>
        <v>1.575E-2</v>
      </c>
      <c r="X45" s="526">
        <f t="shared" si="22"/>
        <v>1.575E-2</v>
      </c>
      <c r="Y45" s="596">
        <f t="shared" ref="Y45" si="27">+X22*$AE45+Y22/2*$AE45</f>
        <v>4.4999999999999997E-3</v>
      </c>
      <c r="Z45" s="237"/>
      <c r="AA45" s="478"/>
      <c r="AB45" s="524">
        <f t="shared" si="24"/>
        <v>2.0250000000000001E-2</v>
      </c>
      <c r="AC45" s="1"/>
      <c r="AD45" s="1"/>
      <c r="AE45" s="712">
        <v>0.15</v>
      </c>
      <c r="AF45" s="1"/>
      <c r="AG45" s="1"/>
      <c r="AH45" s="1"/>
      <c r="AI45" s="1"/>
      <c r="AJ45" s="1"/>
      <c r="AK45" s="1"/>
    </row>
    <row r="46" spans="1:37" x14ac:dyDescent="0.25">
      <c r="A46" s="1"/>
      <c r="B46" s="468">
        <f t="shared" si="25"/>
        <v>5</v>
      </c>
      <c r="C46" s="469" t="s">
        <v>770</v>
      </c>
      <c r="D46" s="495"/>
      <c r="E46" s="596">
        <f t="shared" si="12"/>
        <v>0</v>
      </c>
      <c r="F46" s="495"/>
      <c r="G46" s="495"/>
      <c r="H46" s="524">
        <f t="shared" si="13"/>
        <v>0</v>
      </c>
      <c r="I46" s="526">
        <f t="shared" si="14"/>
        <v>0</v>
      </c>
      <c r="J46" s="596">
        <f t="shared" si="15"/>
        <v>0</v>
      </c>
      <c r="K46" s="524"/>
      <c r="L46" s="478"/>
      <c r="M46" s="524">
        <f t="shared" si="16"/>
        <v>0</v>
      </c>
      <c r="N46" s="596">
        <f t="shared" si="17"/>
        <v>0</v>
      </c>
      <c r="O46" s="596">
        <f t="shared" si="17"/>
        <v>0</v>
      </c>
      <c r="P46" s="237"/>
      <c r="Q46" s="478"/>
      <c r="R46" s="524">
        <f t="shared" si="18"/>
        <v>0</v>
      </c>
      <c r="S46" s="526">
        <f t="shared" si="19"/>
        <v>0</v>
      </c>
      <c r="T46" s="596">
        <f t="shared" si="20"/>
        <v>0</v>
      </c>
      <c r="U46" s="237"/>
      <c r="V46" s="478"/>
      <c r="W46" s="524">
        <f t="shared" si="21"/>
        <v>0</v>
      </c>
      <c r="X46" s="526">
        <f t="shared" si="22"/>
        <v>0</v>
      </c>
      <c r="Y46" s="596">
        <f t="shared" ref="Y46" si="28">+X23*$AE46+Y23/2*$AE46</f>
        <v>0</v>
      </c>
      <c r="Z46" s="237"/>
      <c r="AA46" s="478"/>
      <c r="AB46" s="524">
        <f t="shared" si="24"/>
        <v>0</v>
      </c>
      <c r="AC46" s="1"/>
      <c r="AD46" s="1"/>
      <c r="AE46" s="712">
        <v>6.3299999999999995E-2</v>
      </c>
      <c r="AF46" s="1"/>
      <c r="AG46" s="1"/>
      <c r="AH46" s="1"/>
      <c r="AI46" s="1"/>
      <c r="AJ46" s="1"/>
      <c r="AK46" s="1"/>
    </row>
    <row r="47" spans="1:37" x14ac:dyDescent="0.25">
      <c r="A47" s="1"/>
      <c r="B47" s="468">
        <f t="shared" si="25"/>
        <v>6</v>
      </c>
      <c r="C47" s="469" t="s">
        <v>266</v>
      </c>
      <c r="D47" s="10"/>
      <c r="E47" s="596">
        <f t="shared" si="12"/>
        <v>2.8389999999999999E-3</v>
      </c>
      <c r="F47" s="10"/>
      <c r="G47" s="10"/>
      <c r="H47" s="524">
        <f t="shared" si="13"/>
        <v>2.8389999999999999E-3</v>
      </c>
      <c r="I47" s="526">
        <f t="shared" si="14"/>
        <v>2.8389999999999999E-3</v>
      </c>
      <c r="J47" s="596">
        <f t="shared" si="15"/>
        <v>5.6779999999999999E-3</v>
      </c>
      <c r="K47" s="524"/>
      <c r="L47" s="478"/>
      <c r="M47" s="524">
        <f t="shared" si="16"/>
        <v>8.5170000000000003E-3</v>
      </c>
      <c r="N47" s="596">
        <f t="shared" si="17"/>
        <v>8.5170000000000003E-3</v>
      </c>
      <c r="O47" s="596">
        <f t="shared" si="17"/>
        <v>5.6779999999999999E-3</v>
      </c>
      <c r="P47" s="237"/>
      <c r="Q47" s="478"/>
      <c r="R47" s="524">
        <f t="shared" si="18"/>
        <v>1.4194999999999999E-2</v>
      </c>
      <c r="S47" s="526">
        <f t="shared" si="19"/>
        <v>1.4194999999999999E-2</v>
      </c>
      <c r="T47" s="596">
        <f t="shared" si="20"/>
        <v>5.6779999999999999E-3</v>
      </c>
      <c r="U47" s="237"/>
      <c r="V47" s="478"/>
      <c r="W47" s="524">
        <f t="shared" si="21"/>
        <v>1.9872999999999998E-2</v>
      </c>
      <c r="X47" s="526">
        <f t="shared" si="22"/>
        <v>1.9872999999999998E-2</v>
      </c>
      <c r="Y47" s="596">
        <f t="shared" ref="Y47" si="29">+X24*$AE47+Y24/2*$AE47</f>
        <v>5.6779999999999999E-3</v>
      </c>
      <c r="Z47" s="237"/>
      <c r="AA47" s="478"/>
      <c r="AB47" s="524">
        <f t="shared" si="24"/>
        <v>2.5550999999999997E-2</v>
      </c>
      <c r="AC47" s="1"/>
      <c r="AD47" s="1"/>
      <c r="AE47" s="712">
        <v>3.3399999999999999E-2</v>
      </c>
      <c r="AF47" s="1"/>
      <c r="AG47" s="1"/>
      <c r="AH47" s="1"/>
      <c r="AI47" s="1"/>
      <c r="AJ47" s="1"/>
      <c r="AK47" s="1"/>
    </row>
    <row r="48" spans="1:37" x14ac:dyDescent="0.25">
      <c r="A48" s="1"/>
      <c r="B48" s="499"/>
      <c r="C48" s="500" t="s">
        <v>180</v>
      </c>
      <c r="D48" s="595">
        <f>SUM(D42:D47)</f>
        <v>0</v>
      </c>
      <c r="E48" s="595">
        <f t="shared" ref="E48:AB48" si="30">SUM(E42:E47)</f>
        <v>0.21627362500000002</v>
      </c>
      <c r="F48" s="595">
        <f t="shared" si="30"/>
        <v>0</v>
      </c>
      <c r="G48" s="595">
        <f t="shared" si="30"/>
        <v>0</v>
      </c>
      <c r="H48" s="595">
        <f t="shared" si="30"/>
        <v>0.21627362500000002</v>
      </c>
      <c r="I48" s="595">
        <f t="shared" si="30"/>
        <v>0.21627362500000002</v>
      </c>
      <c r="J48" s="595">
        <f t="shared" si="30"/>
        <v>0.44098725000000005</v>
      </c>
      <c r="K48" s="595">
        <f t="shared" si="30"/>
        <v>0</v>
      </c>
      <c r="L48" s="595">
        <f t="shared" si="30"/>
        <v>0</v>
      </c>
      <c r="M48" s="595">
        <f t="shared" si="30"/>
        <v>0.65726087500000008</v>
      </c>
      <c r="N48" s="595">
        <f t="shared" si="30"/>
        <v>0.67414087500000008</v>
      </c>
      <c r="O48" s="595">
        <f t="shared" si="30"/>
        <v>0.51652524999999994</v>
      </c>
      <c r="P48" s="595">
        <f t="shared" si="30"/>
        <v>0</v>
      </c>
      <c r="Q48" s="595">
        <f t="shared" si="30"/>
        <v>0</v>
      </c>
      <c r="R48" s="595">
        <f t="shared" si="30"/>
        <v>1.1906661250000001</v>
      </c>
      <c r="S48" s="595">
        <f t="shared" si="30"/>
        <v>1.1906661250000001</v>
      </c>
      <c r="T48" s="595">
        <f t="shared" si="30"/>
        <v>0.60754558599999997</v>
      </c>
      <c r="U48" s="595">
        <f t="shared" si="30"/>
        <v>0</v>
      </c>
      <c r="V48" s="595">
        <f t="shared" si="30"/>
        <v>0</v>
      </c>
      <c r="W48" s="595">
        <f t="shared" si="30"/>
        <v>1.798211711</v>
      </c>
      <c r="X48" s="595">
        <f t="shared" si="30"/>
        <v>1.798211711</v>
      </c>
      <c r="Y48" s="595">
        <f t="shared" si="30"/>
        <v>0.63146792200000001</v>
      </c>
      <c r="Z48" s="595">
        <f t="shared" si="30"/>
        <v>0</v>
      </c>
      <c r="AA48" s="595">
        <f t="shared" si="30"/>
        <v>0</v>
      </c>
      <c r="AB48" s="595">
        <f t="shared" si="30"/>
        <v>2.4296796330000001</v>
      </c>
      <c r="AC48" s="1"/>
      <c r="AD48" s="1"/>
      <c r="AE48" s="1"/>
      <c r="AF48" s="1"/>
      <c r="AG48" s="1"/>
      <c r="AH48" s="1"/>
      <c r="AI48" s="1"/>
      <c r="AJ48" s="1"/>
      <c r="AK48" s="1"/>
    </row>
    <row r="49" spans="1:37" x14ac:dyDescent="0.25">
      <c r="A49" s="1103"/>
      <c r="B49" s="1103"/>
      <c r="C49" s="502"/>
      <c r="D49" s="502"/>
      <c r="E49" s="860"/>
      <c r="F49" s="502"/>
      <c r="G49" s="502"/>
      <c r="H49" s="502"/>
      <c r="I49" s="502"/>
      <c r="J49" s="860"/>
      <c r="K49" s="502"/>
      <c r="L49" s="502"/>
      <c r="M49" s="502"/>
      <c r="N49" s="501"/>
      <c r="O49" s="860"/>
      <c r="P49" s="501"/>
      <c r="Q49" s="501"/>
      <c r="R49" s="501"/>
      <c r="S49" s="501"/>
      <c r="T49" s="860"/>
      <c r="U49" s="501"/>
      <c r="V49" s="501"/>
      <c r="W49" s="501"/>
      <c r="X49" s="501"/>
      <c r="Y49" s="860"/>
      <c r="Z49" s="501"/>
      <c r="AA49" s="501"/>
      <c r="AB49" s="501"/>
      <c r="AC49" s="1"/>
      <c r="AD49" s="1"/>
      <c r="AE49" s="1"/>
      <c r="AF49" s="1"/>
      <c r="AG49" s="1"/>
      <c r="AH49" s="1"/>
      <c r="AI49" s="1"/>
      <c r="AJ49" s="1"/>
      <c r="AK49" s="1"/>
    </row>
    <row r="50" spans="1:37" x14ac:dyDescent="0.25">
      <c r="A50" s="1103"/>
      <c r="B50" s="1103"/>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row>
    <row r="51" spans="1:37" x14ac:dyDescent="0.25">
      <c r="A51" s="1"/>
      <c r="B51" s="1104" t="s">
        <v>397</v>
      </c>
      <c r="C51" s="1104"/>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row>
    <row r="52" spans="1:37" x14ac:dyDescent="0.25">
      <c r="A52" s="1103"/>
      <c r="B52" s="1103"/>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row>
    <row r="53" spans="1:37" x14ac:dyDescent="0.25">
      <c r="A53" s="1103"/>
      <c r="B53" s="1103"/>
      <c r="C53" s="1"/>
      <c r="D53" s="1"/>
      <c r="E53" s="1"/>
      <c r="F53" s="1"/>
      <c r="G53" s="1"/>
      <c r="H53" s="1"/>
      <c r="I53" s="1"/>
      <c r="J53" s="1"/>
      <c r="K53" s="1"/>
      <c r="L53" s="1"/>
      <c r="M53" s="1"/>
      <c r="N53" s="1"/>
      <c r="O53" s="8"/>
      <c r="P53" s="1"/>
      <c r="Q53" s="1"/>
      <c r="R53" s="8"/>
      <c r="S53" s="8"/>
      <c r="T53" s="1"/>
      <c r="U53" s="1"/>
      <c r="V53" s="1"/>
      <c r="W53" s="1"/>
      <c r="X53" s="1"/>
      <c r="Y53" s="1"/>
      <c r="Z53" s="1"/>
      <c r="AA53" s="1"/>
      <c r="AB53" s="7"/>
      <c r="AC53" s="1"/>
      <c r="AD53" s="7"/>
      <c r="AE53" s="1"/>
      <c r="AF53" s="1"/>
      <c r="AG53" s="1"/>
      <c r="AH53" s="1"/>
      <c r="AI53" s="1"/>
      <c r="AJ53" s="1"/>
      <c r="AK53" s="1"/>
    </row>
    <row r="54" spans="1:37" x14ac:dyDescent="0.25">
      <c r="A54" s="1103"/>
      <c r="B54" s="1103"/>
      <c r="C54" s="502"/>
      <c r="D54" s="502"/>
      <c r="E54" s="502"/>
      <c r="F54" s="502"/>
      <c r="G54" s="502"/>
      <c r="H54" s="502"/>
      <c r="I54" s="502"/>
      <c r="J54" s="502"/>
      <c r="K54" s="502"/>
      <c r="L54" s="502"/>
      <c r="M54" s="502"/>
      <c r="N54" s="501"/>
      <c r="O54" s="501"/>
      <c r="P54" s="501"/>
      <c r="Q54" s="501"/>
      <c r="R54" s="501"/>
      <c r="S54" s="501"/>
      <c r="T54" s="501"/>
      <c r="U54" s="501"/>
      <c r="V54" s="501"/>
      <c r="W54" s="501"/>
      <c r="X54" s="1"/>
      <c r="Y54" s="497"/>
      <c r="Z54" s="497"/>
      <c r="AA54" s="497"/>
      <c r="AB54" s="1"/>
      <c r="AC54" s="1"/>
      <c r="AD54" s="1"/>
      <c r="AE54" s="1"/>
      <c r="AF54" s="1"/>
      <c r="AG54" s="1"/>
      <c r="AH54" s="1"/>
      <c r="AI54" s="1"/>
      <c r="AJ54" s="1"/>
      <c r="AK54" s="1"/>
    </row>
    <row r="55" spans="1:37" x14ac:dyDescent="0.25">
      <c r="A55" s="1"/>
      <c r="B55" s="1105" t="s">
        <v>421</v>
      </c>
      <c r="C55" s="1105"/>
      <c r="D55" s="1105"/>
      <c r="E55" s="1105"/>
      <c r="F55" s="1105"/>
      <c r="G55" s="1105"/>
      <c r="H55" s="1105"/>
      <c r="I55" s="503"/>
      <c r="J55" s="503"/>
      <c r="K55" s="503"/>
      <c r="L55" s="502"/>
      <c r="M55" s="502"/>
      <c r="N55" s="501"/>
      <c r="O55" s="501"/>
      <c r="P55" s="501"/>
      <c r="Q55" s="501"/>
      <c r="R55" s="501"/>
      <c r="S55" s="501"/>
      <c r="T55" s="501"/>
      <c r="U55" s="501"/>
      <c r="V55" s="501"/>
      <c r="W55" s="501"/>
      <c r="X55" s="1"/>
      <c r="Y55" s="497"/>
      <c r="Z55" s="497"/>
      <c r="AA55" s="497"/>
      <c r="AB55" s="1"/>
      <c r="AC55" s="1"/>
      <c r="AD55" s="1"/>
      <c r="AE55" s="1"/>
      <c r="AF55" s="1"/>
      <c r="AG55" s="1"/>
      <c r="AH55" s="1"/>
      <c r="AI55" s="1"/>
      <c r="AJ55" s="1"/>
      <c r="AK55" s="1"/>
    </row>
    <row r="56" spans="1:37" x14ac:dyDescent="0.25">
      <c r="A56" s="1103"/>
      <c r="B56" s="1103"/>
      <c r="C56" s="502"/>
      <c r="D56" s="502"/>
      <c r="E56" s="502"/>
      <c r="F56" s="502"/>
      <c r="G56" s="502"/>
      <c r="H56" s="502"/>
      <c r="I56" s="502"/>
      <c r="J56" s="502"/>
      <c r="K56" s="502"/>
      <c r="L56" s="502"/>
      <c r="M56" s="502"/>
      <c r="N56" s="501"/>
      <c r="O56" s="501"/>
      <c r="P56" s="501"/>
      <c r="Q56" s="501"/>
      <c r="R56" s="501"/>
      <c r="S56" s="501"/>
      <c r="T56" s="501"/>
      <c r="U56" s="501"/>
      <c r="V56" s="501"/>
      <c r="W56" s="501"/>
      <c r="X56" s="501"/>
      <c r="Y56" s="501"/>
      <c r="Z56" s="501"/>
      <c r="AA56" s="501"/>
      <c r="AB56" s="501"/>
      <c r="AC56" s="501"/>
      <c r="AD56" s="501"/>
      <c r="AE56" s="501"/>
      <c r="AF56" s="501"/>
      <c r="AG56" s="1"/>
      <c r="AH56" s="1"/>
      <c r="AI56" s="1"/>
      <c r="AJ56" s="1"/>
      <c r="AK56" s="1"/>
    </row>
    <row r="57" spans="1:37" x14ac:dyDescent="0.25">
      <c r="A57" s="1103"/>
      <c r="B57" s="1103"/>
      <c r="C57" s="502"/>
      <c r="D57" s="502"/>
      <c r="E57" s="502"/>
      <c r="F57" s="502"/>
      <c r="G57" s="502"/>
      <c r="H57" s="502"/>
      <c r="I57" s="502"/>
      <c r="J57" s="502"/>
      <c r="K57" s="502"/>
      <c r="L57" s="502"/>
      <c r="M57" s="502"/>
      <c r="N57" s="501"/>
      <c r="O57" s="501"/>
      <c r="P57" s="501"/>
      <c r="Q57" s="501"/>
      <c r="R57" s="501"/>
      <c r="S57" s="501"/>
      <c r="T57" s="501"/>
      <c r="U57" s="501"/>
      <c r="V57" s="501"/>
      <c r="W57" s="501"/>
      <c r="X57" s="501"/>
      <c r="Y57" s="501"/>
      <c r="Z57" s="501"/>
      <c r="AA57" s="501"/>
      <c r="AB57" s="7" t="s">
        <v>73</v>
      </c>
      <c r="AC57" s="501"/>
      <c r="AD57" s="501"/>
      <c r="AE57" s="501"/>
      <c r="AF57" s="501"/>
      <c r="AG57" s="1"/>
      <c r="AH57" s="1"/>
      <c r="AI57" s="1"/>
      <c r="AJ57" s="1"/>
      <c r="AK57" s="1"/>
    </row>
    <row r="58" spans="1:37" ht="13.95" customHeight="1" x14ac:dyDescent="0.25">
      <c r="A58" s="1"/>
      <c r="B58" s="1107" t="s">
        <v>1</v>
      </c>
      <c r="C58" s="1107" t="s">
        <v>74</v>
      </c>
      <c r="D58" s="1097" t="s">
        <v>87</v>
      </c>
      <c r="E58" s="1098"/>
      <c r="F58" s="1098"/>
      <c r="G58" s="1098"/>
      <c r="H58" s="1099"/>
      <c r="I58" s="1097" t="s">
        <v>88</v>
      </c>
      <c r="J58" s="1098"/>
      <c r="K58" s="1098"/>
      <c r="L58" s="1098"/>
      <c r="M58" s="1099"/>
      <c r="N58" s="1097" t="s">
        <v>89</v>
      </c>
      <c r="O58" s="1098"/>
      <c r="P58" s="1098"/>
      <c r="Q58" s="1098"/>
      <c r="R58" s="1099"/>
      <c r="S58" s="1097" t="s">
        <v>90</v>
      </c>
      <c r="T58" s="1098"/>
      <c r="U58" s="1098"/>
      <c r="V58" s="1098"/>
      <c r="W58" s="1099"/>
      <c r="X58" s="1097" t="s">
        <v>91</v>
      </c>
      <c r="Y58" s="1098"/>
      <c r="Z58" s="1098"/>
      <c r="AA58" s="1098"/>
      <c r="AB58" s="1099"/>
      <c r="AC58" s="501"/>
      <c r="AD58" s="501"/>
      <c r="AE58" s="501"/>
      <c r="AF58" s="501"/>
      <c r="AG58" s="1"/>
      <c r="AH58" s="1"/>
      <c r="AI58" s="1"/>
      <c r="AJ58" s="1"/>
      <c r="AK58" s="1"/>
    </row>
    <row r="59" spans="1:37" ht="13.95" customHeight="1" x14ac:dyDescent="0.25">
      <c r="A59" s="1"/>
      <c r="B59" s="1108"/>
      <c r="C59" s="1108"/>
      <c r="D59" s="1113" t="s">
        <v>103</v>
      </c>
      <c r="E59" s="1114"/>
      <c r="F59" s="1114"/>
      <c r="G59" s="1114"/>
      <c r="H59" s="1115"/>
      <c r="I59" s="1113" t="s">
        <v>103</v>
      </c>
      <c r="J59" s="1114"/>
      <c r="K59" s="1114"/>
      <c r="L59" s="1114"/>
      <c r="M59" s="1115"/>
      <c r="N59" s="1113" t="s">
        <v>103</v>
      </c>
      <c r="O59" s="1114"/>
      <c r="P59" s="1114"/>
      <c r="Q59" s="1114"/>
      <c r="R59" s="1115"/>
      <c r="S59" s="1113" t="s">
        <v>103</v>
      </c>
      <c r="T59" s="1114"/>
      <c r="U59" s="1114"/>
      <c r="V59" s="1114"/>
      <c r="W59" s="1115"/>
      <c r="X59" s="1113" t="s">
        <v>103</v>
      </c>
      <c r="Y59" s="1114"/>
      <c r="Z59" s="1114"/>
      <c r="AA59" s="1114"/>
      <c r="AB59" s="1115"/>
      <c r="AC59" s="501"/>
      <c r="AD59" s="501"/>
      <c r="AE59" s="501"/>
      <c r="AF59" s="501"/>
      <c r="AG59" s="1"/>
      <c r="AH59" s="1"/>
      <c r="AI59" s="1"/>
      <c r="AJ59" s="1"/>
      <c r="AK59" s="1"/>
    </row>
    <row r="60" spans="1:37" ht="41.4" x14ac:dyDescent="0.25">
      <c r="A60" s="1"/>
      <c r="B60" s="1109"/>
      <c r="C60" s="1109"/>
      <c r="D60" s="494" t="s">
        <v>360</v>
      </c>
      <c r="E60" s="494" t="s">
        <v>361</v>
      </c>
      <c r="F60" s="494" t="s">
        <v>393</v>
      </c>
      <c r="G60" s="494" t="s">
        <v>401</v>
      </c>
      <c r="H60" s="494" t="s">
        <v>363</v>
      </c>
      <c r="I60" s="494" t="s">
        <v>360</v>
      </c>
      <c r="J60" s="494" t="s">
        <v>361</v>
      </c>
      <c r="K60" s="494" t="s">
        <v>393</v>
      </c>
      <c r="L60" s="494" t="s">
        <v>401</v>
      </c>
      <c r="M60" s="494" t="s">
        <v>363</v>
      </c>
      <c r="N60" s="494" t="s">
        <v>360</v>
      </c>
      <c r="O60" s="494" t="s">
        <v>361</v>
      </c>
      <c r="P60" s="494" t="s">
        <v>393</v>
      </c>
      <c r="Q60" s="494" t="s">
        <v>401</v>
      </c>
      <c r="R60" s="494" t="s">
        <v>363</v>
      </c>
      <c r="S60" s="494" t="s">
        <v>360</v>
      </c>
      <c r="T60" s="494" t="s">
        <v>361</v>
      </c>
      <c r="U60" s="494" t="s">
        <v>393</v>
      </c>
      <c r="V60" s="494" t="s">
        <v>401</v>
      </c>
      <c r="W60" s="494" t="s">
        <v>363</v>
      </c>
      <c r="X60" s="494" t="s">
        <v>360</v>
      </c>
      <c r="Y60" s="494" t="s">
        <v>361</v>
      </c>
      <c r="Z60" s="494" t="s">
        <v>393</v>
      </c>
      <c r="AA60" s="494" t="s">
        <v>401</v>
      </c>
      <c r="AB60" s="494" t="s">
        <v>363</v>
      </c>
      <c r="AC60" s="501"/>
      <c r="AD60" s="501"/>
      <c r="AE60" s="501"/>
      <c r="AF60" s="501"/>
      <c r="AG60" s="1"/>
      <c r="AH60" s="1"/>
      <c r="AI60" s="1"/>
      <c r="AJ60" s="1"/>
      <c r="AK60" s="1"/>
    </row>
    <row r="61" spans="1:37" ht="27.6" x14ac:dyDescent="0.25">
      <c r="A61" s="1"/>
      <c r="B61" s="494"/>
      <c r="C61" s="494"/>
      <c r="D61" s="494" t="s">
        <v>92</v>
      </c>
      <c r="E61" s="494" t="s">
        <v>93</v>
      </c>
      <c r="F61" s="494" t="s">
        <v>191</v>
      </c>
      <c r="G61" s="494" t="s">
        <v>95</v>
      </c>
      <c r="H61" s="494" t="s">
        <v>402</v>
      </c>
      <c r="I61" s="494" t="s">
        <v>96</v>
      </c>
      <c r="J61" s="494" t="s">
        <v>365</v>
      </c>
      <c r="K61" s="494" t="s">
        <v>98</v>
      </c>
      <c r="L61" s="494" t="s">
        <v>99</v>
      </c>
      <c r="M61" s="494" t="s">
        <v>403</v>
      </c>
      <c r="N61" s="494" t="s">
        <v>367</v>
      </c>
      <c r="O61" s="494" t="s">
        <v>369</v>
      </c>
      <c r="P61" s="494" t="s">
        <v>370</v>
      </c>
      <c r="Q61" s="494" t="s">
        <v>371</v>
      </c>
      <c r="R61" s="494" t="s">
        <v>404</v>
      </c>
      <c r="S61" s="494" t="s">
        <v>374</v>
      </c>
      <c r="T61" s="494" t="s">
        <v>375</v>
      </c>
      <c r="U61" s="494" t="s">
        <v>376</v>
      </c>
      <c r="V61" s="494" t="s">
        <v>378</v>
      </c>
      <c r="W61" s="494" t="s">
        <v>405</v>
      </c>
      <c r="X61" s="494" t="s">
        <v>379</v>
      </c>
      <c r="Y61" s="494" t="s">
        <v>380</v>
      </c>
      <c r="Z61" s="494" t="s">
        <v>382</v>
      </c>
      <c r="AA61" s="494" t="s">
        <v>383</v>
      </c>
      <c r="AB61" s="494" t="s">
        <v>406</v>
      </c>
      <c r="AC61" s="501"/>
      <c r="AD61" s="501"/>
      <c r="AE61" s="501"/>
      <c r="AF61" s="501"/>
      <c r="AG61" s="1"/>
      <c r="AH61" s="1"/>
      <c r="AI61" s="1"/>
      <c r="AJ61" s="1"/>
      <c r="AK61" s="1"/>
    </row>
    <row r="62" spans="1:37" x14ac:dyDescent="0.25">
      <c r="A62" s="1"/>
      <c r="B62" s="468">
        <v>1</v>
      </c>
      <c r="C62" s="469" t="s">
        <v>732</v>
      </c>
      <c r="D62" s="528">
        <f>+D19-D42</f>
        <v>0</v>
      </c>
      <c r="E62" s="528">
        <f t="shared" ref="E62:AB67" si="31">+E19-E42</f>
        <v>0</v>
      </c>
      <c r="F62" s="528">
        <f t="shared" si="31"/>
        <v>0</v>
      </c>
      <c r="G62" s="528">
        <f t="shared" si="31"/>
        <v>0</v>
      </c>
      <c r="H62" s="528">
        <f t="shared" si="31"/>
        <v>0</v>
      </c>
      <c r="I62" s="528">
        <f t="shared" si="31"/>
        <v>0</v>
      </c>
      <c r="J62" s="528">
        <f t="shared" si="31"/>
        <v>0</v>
      </c>
      <c r="K62" s="528">
        <f t="shared" si="31"/>
        <v>0</v>
      </c>
      <c r="L62" s="528">
        <f t="shared" si="31"/>
        <v>0</v>
      </c>
      <c r="M62" s="528">
        <f t="shared" si="31"/>
        <v>0</v>
      </c>
      <c r="N62" s="528">
        <f t="shared" si="31"/>
        <v>0</v>
      </c>
      <c r="O62" s="528">
        <f t="shared" si="31"/>
        <v>0</v>
      </c>
      <c r="P62" s="528">
        <f t="shared" si="31"/>
        <v>0</v>
      </c>
      <c r="Q62" s="528">
        <f t="shared" si="31"/>
        <v>0</v>
      </c>
      <c r="R62" s="528">
        <f t="shared" si="31"/>
        <v>0</v>
      </c>
      <c r="S62" s="528">
        <f t="shared" si="31"/>
        <v>0</v>
      </c>
      <c r="T62" s="528">
        <f t="shared" si="31"/>
        <v>0</v>
      </c>
      <c r="U62" s="528">
        <f t="shared" si="31"/>
        <v>0</v>
      </c>
      <c r="V62" s="528">
        <f t="shared" si="31"/>
        <v>0</v>
      </c>
      <c r="W62" s="528">
        <f t="shared" si="31"/>
        <v>0</v>
      </c>
      <c r="X62" s="528">
        <f t="shared" si="31"/>
        <v>0</v>
      </c>
      <c r="Y62" s="528">
        <f t="shared" si="31"/>
        <v>0</v>
      </c>
      <c r="Z62" s="528">
        <f t="shared" si="31"/>
        <v>0</v>
      </c>
      <c r="AA62" s="528">
        <f t="shared" si="31"/>
        <v>0</v>
      </c>
      <c r="AB62" s="528">
        <f t="shared" si="31"/>
        <v>0</v>
      </c>
      <c r="AC62" s="501"/>
      <c r="AD62" s="501"/>
      <c r="AE62" s="501"/>
      <c r="AF62" s="501"/>
      <c r="AG62" s="1"/>
      <c r="AH62" s="1"/>
      <c r="AI62" s="1"/>
      <c r="AJ62" s="1"/>
      <c r="AK62" s="1"/>
    </row>
    <row r="63" spans="1:37" x14ac:dyDescent="0.25">
      <c r="A63" s="1"/>
      <c r="B63" s="468">
        <f>+B62+1</f>
        <v>2</v>
      </c>
      <c r="C63" s="469" t="s">
        <v>265</v>
      </c>
      <c r="D63" s="528">
        <f t="shared" ref="D63:S67" si="32">+D20-D43</f>
        <v>0</v>
      </c>
      <c r="E63" s="528">
        <f t="shared" si="32"/>
        <v>9.735160500000001</v>
      </c>
      <c r="F63" s="528">
        <f t="shared" si="32"/>
        <v>0</v>
      </c>
      <c r="G63" s="528">
        <f t="shared" si="32"/>
        <v>0</v>
      </c>
      <c r="H63" s="528">
        <f t="shared" si="32"/>
        <v>9.735160500000001</v>
      </c>
      <c r="I63" s="528">
        <f t="shared" si="32"/>
        <v>9.735160500000001</v>
      </c>
      <c r="J63" s="528">
        <f t="shared" si="32"/>
        <v>-2.8119000000000005E-2</v>
      </c>
      <c r="K63" s="528">
        <f t="shared" si="32"/>
        <v>0</v>
      </c>
      <c r="L63" s="528">
        <f t="shared" si="32"/>
        <v>0</v>
      </c>
      <c r="M63" s="528">
        <f t="shared" si="32"/>
        <v>9.7070415000000008</v>
      </c>
      <c r="N63" s="528">
        <f t="shared" si="32"/>
        <v>9.6901615000000003</v>
      </c>
      <c r="O63" s="528">
        <f t="shared" si="32"/>
        <v>2.6763430000000001</v>
      </c>
      <c r="P63" s="528">
        <f t="shared" si="32"/>
        <v>0</v>
      </c>
      <c r="Q63" s="528">
        <f t="shared" si="32"/>
        <v>0</v>
      </c>
      <c r="R63" s="528">
        <f t="shared" si="32"/>
        <v>12.3665045</v>
      </c>
      <c r="S63" s="528">
        <f t="shared" si="32"/>
        <v>12.3665045</v>
      </c>
      <c r="T63" s="528">
        <f t="shared" si="31"/>
        <v>0.53908266400000004</v>
      </c>
      <c r="U63" s="528">
        <f t="shared" si="31"/>
        <v>0</v>
      </c>
      <c r="V63" s="528">
        <f t="shared" si="31"/>
        <v>0</v>
      </c>
      <c r="W63" s="528">
        <f t="shared" si="31"/>
        <v>12.905587164</v>
      </c>
      <c r="X63" s="528">
        <f t="shared" si="31"/>
        <v>12.905587164</v>
      </c>
      <c r="Y63" s="528">
        <f t="shared" si="31"/>
        <v>-0.6185996720000001</v>
      </c>
      <c r="Z63" s="528">
        <f t="shared" si="31"/>
        <v>0</v>
      </c>
      <c r="AA63" s="528">
        <f t="shared" si="31"/>
        <v>0</v>
      </c>
      <c r="AB63" s="528">
        <f t="shared" si="31"/>
        <v>12.286987492000002</v>
      </c>
      <c r="AC63" s="501"/>
      <c r="AD63" s="501"/>
      <c r="AE63" s="501"/>
      <c r="AF63" s="501"/>
      <c r="AG63" s="1"/>
      <c r="AH63" s="1"/>
      <c r="AI63" s="1"/>
      <c r="AJ63" s="1"/>
      <c r="AK63" s="1"/>
    </row>
    <row r="64" spans="1:37" x14ac:dyDescent="0.25">
      <c r="A64" s="1"/>
      <c r="B64" s="468">
        <f t="shared" ref="B64:B67" si="33">+B63+1</f>
        <v>3</v>
      </c>
      <c r="C64" s="238" t="s">
        <v>272</v>
      </c>
      <c r="D64" s="528">
        <f t="shared" si="32"/>
        <v>0</v>
      </c>
      <c r="E64" s="528">
        <f t="shared" si="31"/>
        <v>4.1154875E-2</v>
      </c>
      <c r="F64" s="528">
        <f t="shared" si="31"/>
        <v>0</v>
      </c>
      <c r="G64" s="528">
        <f t="shared" si="31"/>
        <v>0</v>
      </c>
      <c r="H64" s="528">
        <f t="shared" si="31"/>
        <v>4.1154875E-2</v>
      </c>
      <c r="I64" s="528">
        <f t="shared" si="31"/>
        <v>4.1154875E-2</v>
      </c>
      <c r="J64" s="528">
        <f t="shared" si="31"/>
        <v>-2.6902499999999999E-3</v>
      </c>
      <c r="K64" s="528">
        <f t="shared" si="31"/>
        <v>0</v>
      </c>
      <c r="L64" s="528">
        <f t="shared" si="31"/>
        <v>0</v>
      </c>
      <c r="M64" s="528">
        <f t="shared" si="31"/>
        <v>3.8464625000000002E-2</v>
      </c>
      <c r="N64" s="528">
        <f t="shared" si="31"/>
        <v>3.8464625000000002E-2</v>
      </c>
      <c r="O64" s="528">
        <f t="shared" si="31"/>
        <v>-2.6902499999999999E-3</v>
      </c>
      <c r="P64" s="528">
        <f t="shared" si="31"/>
        <v>0</v>
      </c>
      <c r="Q64" s="528">
        <f t="shared" si="31"/>
        <v>0</v>
      </c>
      <c r="R64" s="528">
        <f t="shared" si="31"/>
        <v>3.5774375000000004E-2</v>
      </c>
      <c r="S64" s="528">
        <f t="shared" si="31"/>
        <v>3.5774375000000004E-2</v>
      </c>
      <c r="T64" s="528">
        <f t="shared" si="31"/>
        <v>-2.6902499999999999E-3</v>
      </c>
      <c r="U64" s="528">
        <f t="shared" si="31"/>
        <v>0</v>
      </c>
      <c r="V64" s="528">
        <f t="shared" si="31"/>
        <v>0</v>
      </c>
      <c r="W64" s="528">
        <f t="shared" si="31"/>
        <v>3.3084125000000006E-2</v>
      </c>
      <c r="X64" s="528">
        <f t="shared" si="31"/>
        <v>3.3084125000000006E-2</v>
      </c>
      <c r="Y64" s="528">
        <f t="shared" si="31"/>
        <v>-2.6902499999999999E-3</v>
      </c>
      <c r="Z64" s="528">
        <f t="shared" si="31"/>
        <v>0</v>
      </c>
      <c r="AA64" s="528">
        <f t="shared" si="31"/>
        <v>0</v>
      </c>
      <c r="AB64" s="528">
        <f t="shared" si="31"/>
        <v>3.0393875000000001E-2</v>
      </c>
      <c r="AC64" s="501"/>
      <c r="AD64" s="501"/>
      <c r="AE64" s="501"/>
      <c r="AF64" s="501"/>
      <c r="AG64" s="1"/>
      <c r="AH64" s="1"/>
      <c r="AI64" s="1"/>
      <c r="AJ64" s="1"/>
      <c r="AK64" s="1"/>
    </row>
    <row r="65" spans="1:37" x14ac:dyDescent="0.25">
      <c r="A65" s="1"/>
      <c r="B65" s="468">
        <f t="shared" si="33"/>
        <v>4</v>
      </c>
      <c r="C65" s="469" t="s">
        <v>769</v>
      </c>
      <c r="D65" s="528">
        <f t="shared" si="32"/>
        <v>0</v>
      </c>
      <c r="E65" s="528">
        <f t="shared" si="31"/>
        <v>2.775E-2</v>
      </c>
      <c r="F65" s="528">
        <f t="shared" si="31"/>
        <v>0</v>
      </c>
      <c r="G65" s="528">
        <f t="shared" si="31"/>
        <v>0</v>
      </c>
      <c r="H65" s="528">
        <f t="shared" si="31"/>
        <v>2.775E-2</v>
      </c>
      <c r="I65" s="528">
        <f t="shared" si="31"/>
        <v>2.775E-2</v>
      </c>
      <c r="J65" s="528">
        <f t="shared" si="31"/>
        <v>-4.4999999999999997E-3</v>
      </c>
      <c r="K65" s="528">
        <f t="shared" si="31"/>
        <v>0</v>
      </c>
      <c r="L65" s="528">
        <f t="shared" si="31"/>
        <v>0</v>
      </c>
      <c r="M65" s="528">
        <f t="shared" si="31"/>
        <v>2.325E-2</v>
      </c>
      <c r="N65" s="528">
        <f t="shared" si="31"/>
        <v>2.325E-2</v>
      </c>
      <c r="O65" s="528">
        <f t="shared" si="31"/>
        <v>-4.4999999999999997E-3</v>
      </c>
      <c r="P65" s="528">
        <f t="shared" si="31"/>
        <v>0</v>
      </c>
      <c r="Q65" s="528">
        <f t="shared" si="31"/>
        <v>0</v>
      </c>
      <c r="R65" s="528">
        <f t="shared" si="31"/>
        <v>1.8749999999999999E-2</v>
      </c>
      <c r="S65" s="528">
        <f t="shared" si="31"/>
        <v>1.8749999999999999E-2</v>
      </c>
      <c r="T65" s="528">
        <f t="shared" si="31"/>
        <v>-4.4999999999999997E-3</v>
      </c>
      <c r="U65" s="528">
        <f t="shared" si="31"/>
        <v>0</v>
      </c>
      <c r="V65" s="528">
        <f t="shared" si="31"/>
        <v>0</v>
      </c>
      <c r="W65" s="528">
        <f t="shared" si="31"/>
        <v>1.4249999999999999E-2</v>
      </c>
      <c r="X65" s="528">
        <f t="shared" si="31"/>
        <v>1.4249999999999999E-2</v>
      </c>
      <c r="Y65" s="528">
        <f t="shared" si="31"/>
        <v>-4.4999999999999997E-3</v>
      </c>
      <c r="Z65" s="528">
        <f t="shared" si="31"/>
        <v>0</v>
      </c>
      <c r="AA65" s="528">
        <f t="shared" si="31"/>
        <v>0</v>
      </c>
      <c r="AB65" s="528">
        <f t="shared" si="31"/>
        <v>9.7499999999999983E-3</v>
      </c>
      <c r="AC65" s="501"/>
      <c r="AD65" s="501"/>
      <c r="AE65" s="501"/>
      <c r="AF65" s="501"/>
      <c r="AG65" s="1"/>
      <c r="AH65" s="1"/>
      <c r="AI65" s="1"/>
      <c r="AJ65" s="1"/>
      <c r="AK65" s="1"/>
    </row>
    <row r="66" spans="1:37" x14ac:dyDescent="0.25">
      <c r="A66" s="1"/>
      <c r="B66" s="468">
        <f t="shared" si="33"/>
        <v>5</v>
      </c>
      <c r="C66" s="469" t="s">
        <v>770</v>
      </c>
      <c r="D66" s="528">
        <f t="shared" si="32"/>
        <v>0</v>
      </c>
      <c r="E66" s="528">
        <f t="shared" si="31"/>
        <v>0</v>
      </c>
      <c r="F66" s="528">
        <f t="shared" si="31"/>
        <v>0</v>
      </c>
      <c r="G66" s="528">
        <f t="shared" si="31"/>
        <v>0</v>
      </c>
      <c r="H66" s="528">
        <f t="shared" si="31"/>
        <v>0</v>
      </c>
      <c r="I66" s="528">
        <f t="shared" si="31"/>
        <v>0</v>
      </c>
      <c r="J66" s="528">
        <f t="shared" si="31"/>
        <v>0</v>
      </c>
      <c r="K66" s="528">
        <f t="shared" si="31"/>
        <v>0</v>
      </c>
      <c r="L66" s="528">
        <f t="shared" si="31"/>
        <v>0</v>
      </c>
      <c r="M66" s="528">
        <f t="shared" si="31"/>
        <v>0</v>
      </c>
      <c r="N66" s="528">
        <f t="shared" si="31"/>
        <v>0</v>
      </c>
      <c r="O66" s="528">
        <f t="shared" si="31"/>
        <v>0</v>
      </c>
      <c r="P66" s="528">
        <f t="shared" si="31"/>
        <v>0</v>
      </c>
      <c r="Q66" s="528">
        <f t="shared" si="31"/>
        <v>0</v>
      </c>
      <c r="R66" s="528">
        <f t="shared" si="31"/>
        <v>0</v>
      </c>
      <c r="S66" s="528">
        <f t="shared" si="31"/>
        <v>0</v>
      </c>
      <c r="T66" s="528">
        <f t="shared" si="31"/>
        <v>0</v>
      </c>
      <c r="U66" s="528">
        <f t="shared" si="31"/>
        <v>0</v>
      </c>
      <c r="V66" s="528">
        <f t="shared" si="31"/>
        <v>0</v>
      </c>
      <c r="W66" s="528">
        <f t="shared" si="31"/>
        <v>0</v>
      </c>
      <c r="X66" s="528">
        <f t="shared" si="31"/>
        <v>0</v>
      </c>
      <c r="Y66" s="528">
        <f t="shared" si="31"/>
        <v>0</v>
      </c>
      <c r="Z66" s="528">
        <f t="shared" si="31"/>
        <v>0</v>
      </c>
      <c r="AA66" s="528">
        <f t="shared" si="31"/>
        <v>0</v>
      </c>
      <c r="AB66" s="528">
        <f t="shared" si="31"/>
        <v>0</v>
      </c>
      <c r="AC66" s="501"/>
      <c r="AD66" s="501"/>
      <c r="AE66" s="501"/>
      <c r="AF66" s="501"/>
      <c r="AG66" s="1"/>
      <c r="AH66" s="1"/>
      <c r="AI66" s="1"/>
      <c r="AJ66" s="1"/>
      <c r="AK66" s="1"/>
    </row>
    <row r="67" spans="1:37" x14ac:dyDescent="0.25">
      <c r="A67" s="1"/>
      <c r="B67" s="468">
        <f t="shared" si="33"/>
        <v>6</v>
      </c>
      <c r="C67" s="469" t="s">
        <v>266</v>
      </c>
      <c r="D67" s="528">
        <f t="shared" si="32"/>
        <v>0</v>
      </c>
      <c r="E67" s="528">
        <f t="shared" si="31"/>
        <v>0.167161</v>
      </c>
      <c r="F67" s="528">
        <f t="shared" si="31"/>
        <v>0</v>
      </c>
      <c r="G67" s="528">
        <f t="shared" si="31"/>
        <v>0</v>
      </c>
      <c r="H67" s="528">
        <f t="shared" si="31"/>
        <v>0.167161</v>
      </c>
      <c r="I67" s="528">
        <f t="shared" si="31"/>
        <v>0.167161</v>
      </c>
      <c r="J67" s="528">
        <f t="shared" si="31"/>
        <v>-5.6779999999999999E-3</v>
      </c>
      <c r="K67" s="528">
        <f t="shared" si="31"/>
        <v>0</v>
      </c>
      <c r="L67" s="528">
        <f t="shared" si="31"/>
        <v>0</v>
      </c>
      <c r="M67" s="528">
        <f t="shared" si="31"/>
        <v>0.16148300000000002</v>
      </c>
      <c r="N67" s="528">
        <f t="shared" si="31"/>
        <v>0.16148300000000002</v>
      </c>
      <c r="O67" s="528">
        <f t="shared" si="31"/>
        <v>-5.6779999999999999E-3</v>
      </c>
      <c r="P67" s="528">
        <f t="shared" si="31"/>
        <v>0</v>
      </c>
      <c r="Q67" s="528">
        <f t="shared" si="31"/>
        <v>0</v>
      </c>
      <c r="R67" s="528">
        <f t="shared" si="31"/>
        <v>0.15580500000000003</v>
      </c>
      <c r="S67" s="528">
        <f t="shared" si="31"/>
        <v>0.15580500000000003</v>
      </c>
      <c r="T67" s="528">
        <f t="shared" si="31"/>
        <v>-5.6779999999999999E-3</v>
      </c>
      <c r="U67" s="528">
        <f t="shared" si="31"/>
        <v>0</v>
      </c>
      <c r="V67" s="528">
        <f t="shared" si="31"/>
        <v>0</v>
      </c>
      <c r="W67" s="528">
        <f t="shared" si="31"/>
        <v>0.15012700000000001</v>
      </c>
      <c r="X67" s="528">
        <f t="shared" si="31"/>
        <v>0.15012700000000001</v>
      </c>
      <c r="Y67" s="528">
        <f t="shared" si="31"/>
        <v>-5.6779999999999999E-3</v>
      </c>
      <c r="Z67" s="528">
        <f t="shared" si="31"/>
        <v>0</v>
      </c>
      <c r="AA67" s="528">
        <f t="shared" si="31"/>
        <v>0</v>
      </c>
      <c r="AB67" s="528">
        <f t="shared" si="31"/>
        <v>0.14444900000000002</v>
      </c>
      <c r="AC67" s="501"/>
      <c r="AD67" s="501"/>
      <c r="AE67" s="501"/>
      <c r="AF67" s="501"/>
      <c r="AG67" s="1"/>
      <c r="AH67" s="1"/>
      <c r="AI67" s="1"/>
      <c r="AJ67" s="1"/>
      <c r="AK67" s="1"/>
    </row>
    <row r="68" spans="1:37" x14ac:dyDescent="0.25">
      <c r="A68" s="1"/>
      <c r="B68" s="499"/>
      <c r="C68" s="500" t="s">
        <v>180</v>
      </c>
      <c r="D68" s="596">
        <f>SUM(D62:D67)</f>
        <v>0</v>
      </c>
      <c r="E68" s="596">
        <f t="shared" ref="E68:AB68" si="34">SUM(E62:E67)</f>
        <v>9.9712263750000005</v>
      </c>
      <c r="F68" s="596">
        <f t="shared" si="34"/>
        <v>0</v>
      </c>
      <c r="G68" s="596">
        <f t="shared" si="34"/>
        <v>0</v>
      </c>
      <c r="H68" s="596">
        <f t="shared" si="34"/>
        <v>9.9712263750000005</v>
      </c>
      <c r="I68" s="596">
        <f t="shared" si="34"/>
        <v>9.9712263750000005</v>
      </c>
      <c r="J68" s="596">
        <f t="shared" si="34"/>
        <v>-4.0987250000000003E-2</v>
      </c>
      <c r="K68" s="596">
        <f t="shared" si="34"/>
        <v>0</v>
      </c>
      <c r="L68" s="596">
        <f t="shared" si="34"/>
        <v>0</v>
      </c>
      <c r="M68" s="596">
        <f t="shared" si="34"/>
        <v>9.9302391250000017</v>
      </c>
      <c r="N68" s="596">
        <f t="shared" si="34"/>
        <v>9.9133591250000013</v>
      </c>
      <c r="O68" s="596">
        <f t="shared" si="34"/>
        <v>2.6634747499999998</v>
      </c>
      <c r="P68" s="596">
        <f t="shared" si="34"/>
        <v>0</v>
      </c>
      <c r="Q68" s="596">
        <f t="shared" si="34"/>
        <v>0</v>
      </c>
      <c r="R68" s="596">
        <f t="shared" si="34"/>
        <v>12.576833875000002</v>
      </c>
      <c r="S68" s="596">
        <f t="shared" si="34"/>
        <v>12.576833875000002</v>
      </c>
      <c r="T68" s="596">
        <f t="shared" si="34"/>
        <v>0.52621441400000013</v>
      </c>
      <c r="U68" s="596">
        <f t="shared" si="34"/>
        <v>0</v>
      </c>
      <c r="V68" s="596">
        <f t="shared" si="34"/>
        <v>0</v>
      </c>
      <c r="W68" s="596">
        <f t="shared" si="34"/>
        <v>13.103048289</v>
      </c>
      <c r="X68" s="596">
        <f t="shared" si="34"/>
        <v>13.103048289</v>
      </c>
      <c r="Y68" s="596">
        <f t="shared" si="34"/>
        <v>-0.63146792200000001</v>
      </c>
      <c r="Z68" s="596">
        <f t="shared" si="34"/>
        <v>0</v>
      </c>
      <c r="AA68" s="596">
        <f t="shared" si="34"/>
        <v>0</v>
      </c>
      <c r="AB68" s="596">
        <f t="shared" si="34"/>
        <v>12.471580367000001</v>
      </c>
      <c r="AC68" s="501"/>
      <c r="AD68" s="501"/>
      <c r="AE68" s="501"/>
      <c r="AF68" s="501"/>
      <c r="AG68" s="1"/>
      <c r="AH68" s="1"/>
      <c r="AI68" s="1"/>
      <c r="AJ68" s="1"/>
      <c r="AK68" s="1"/>
    </row>
  </sheetData>
  <mergeCells count="62">
    <mergeCell ref="I58:M58"/>
    <mergeCell ref="N58:R58"/>
    <mergeCell ref="S58:W58"/>
    <mergeCell ref="X58:AB58"/>
    <mergeCell ref="D59:H59"/>
    <mergeCell ref="I59:M59"/>
    <mergeCell ref="N59:R59"/>
    <mergeCell ref="S59:W59"/>
    <mergeCell ref="X59:AB59"/>
    <mergeCell ref="A54:B54"/>
    <mergeCell ref="A56:B56"/>
    <mergeCell ref="A57:B57"/>
    <mergeCell ref="B58:B60"/>
    <mergeCell ref="C58:C60"/>
    <mergeCell ref="B55:H55"/>
    <mergeCell ref="D58:H58"/>
    <mergeCell ref="A49:B49"/>
    <mergeCell ref="A50:B50"/>
    <mergeCell ref="B51:C51"/>
    <mergeCell ref="A52:B52"/>
    <mergeCell ref="A53:B53"/>
    <mergeCell ref="N38:R38"/>
    <mergeCell ref="S38:W38"/>
    <mergeCell ref="X38:AB38"/>
    <mergeCell ref="D39:H39"/>
    <mergeCell ref="I39:M39"/>
    <mergeCell ref="N39:R39"/>
    <mergeCell ref="S39:W39"/>
    <mergeCell ref="X39:AB39"/>
    <mergeCell ref="A37:B37"/>
    <mergeCell ref="B38:B40"/>
    <mergeCell ref="C38:C40"/>
    <mergeCell ref="D38:H38"/>
    <mergeCell ref="I38:M38"/>
    <mergeCell ref="A32:B32"/>
    <mergeCell ref="A33:B33"/>
    <mergeCell ref="A36:B36"/>
    <mergeCell ref="B34:H34"/>
    <mergeCell ref="B35:H35"/>
    <mergeCell ref="A27:B27"/>
    <mergeCell ref="A28:B28"/>
    <mergeCell ref="A29:B29"/>
    <mergeCell ref="B30:C30"/>
    <mergeCell ref="A31:B31"/>
    <mergeCell ref="S15:W15"/>
    <mergeCell ref="X15:AB15"/>
    <mergeCell ref="D16:H16"/>
    <mergeCell ref="I16:M16"/>
    <mergeCell ref="N16:R16"/>
    <mergeCell ref="S16:W16"/>
    <mergeCell ref="X16:AB16"/>
    <mergeCell ref="B15:B17"/>
    <mergeCell ref="C15:C17"/>
    <mergeCell ref="D15:H15"/>
    <mergeCell ref="I15:M15"/>
    <mergeCell ref="N15:R15"/>
    <mergeCell ref="A14:B14"/>
    <mergeCell ref="B9:C9"/>
    <mergeCell ref="A10:B10"/>
    <mergeCell ref="A11:B11"/>
    <mergeCell ref="B12:L12"/>
    <mergeCell ref="A13:B13"/>
  </mergeCells>
  <pageMargins left="0.31496062992125984" right="0.15" top="0.59" bottom="0.98425196850393704" header="0.23622047244094491" footer="0.23622047244094491"/>
  <pageSetup paperSize="9" scale="44" fitToHeight="2"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0590F-49B9-43F0-834E-B6FC7F157AC9}">
  <dimension ref="C2:J25"/>
  <sheetViews>
    <sheetView showGridLines="0" topLeftCell="A3" workbookViewId="0">
      <selection activeCell="H10" sqref="H10:J25"/>
    </sheetView>
  </sheetViews>
  <sheetFormatPr defaultColWidth="8.88671875" defaultRowHeight="13.2" x14ac:dyDescent="0.25"/>
  <cols>
    <col min="1" max="2" width="8.88671875" style="650"/>
    <col min="3" max="3" width="22.44140625" style="650" bestFit="1" customWidth="1"/>
    <col min="4" max="4" width="14.109375" style="650" bestFit="1" customWidth="1"/>
    <col min="5" max="5" width="10.5546875" style="650" bestFit="1" customWidth="1"/>
    <col min="6" max="6" width="23.5546875" style="650" bestFit="1" customWidth="1"/>
    <col min="7" max="7" width="13.33203125" style="650" bestFit="1" customWidth="1"/>
    <col min="8" max="9" width="10.6640625" style="650" bestFit="1" customWidth="1"/>
    <col min="10" max="10" width="13.33203125" style="650" customWidth="1"/>
    <col min="11" max="16384" width="8.88671875" style="650"/>
  </cols>
  <sheetData>
    <row r="2" spans="3:10" ht="13.8" x14ac:dyDescent="0.25">
      <c r="C2" s="1117" t="s">
        <v>75</v>
      </c>
      <c r="D2" s="1118"/>
      <c r="E2" s="1118"/>
      <c r="F2" s="1118"/>
      <c r="G2" s="1118"/>
      <c r="H2" s="1118"/>
      <c r="I2" s="1118"/>
      <c r="J2" s="1118"/>
    </row>
    <row r="3" spans="3:10" s="793" customFormat="1" ht="27.6" x14ac:dyDescent="0.25">
      <c r="C3" s="792" t="s">
        <v>1014</v>
      </c>
      <c r="D3" s="792" t="s">
        <v>1015</v>
      </c>
      <c r="E3" s="792" t="s">
        <v>1016</v>
      </c>
      <c r="F3" s="792" t="s">
        <v>1017</v>
      </c>
      <c r="G3" s="792" t="s">
        <v>1018</v>
      </c>
      <c r="H3" s="792" t="s">
        <v>1021</v>
      </c>
      <c r="I3" s="792" t="s">
        <v>1022</v>
      </c>
      <c r="J3" s="792" t="s">
        <v>1023</v>
      </c>
    </row>
    <row r="4" spans="3:10" ht="13.8" x14ac:dyDescent="0.25">
      <c r="C4" s="661" t="s">
        <v>1019</v>
      </c>
      <c r="D4" s="794">
        <v>40583</v>
      </c>
      <c r="E4" s="795">
        <v>15351</v>
      </c>
      <c r="F4" s="795">
        <v>-13815.9</v>
      </c>
      <c r="G4" s="796">
        <f t="shared" ref="G4:G5" si="0">SUM(E4:F4)</f>
        <v>1535.1000000000004</v>
      </c>
      <c r="H4" s="801">
        <f>+E4*70%</f>
        <v>10745.699999999999</v>
      </c>
      <c r="I4" s="801">
        <f>MIN(-F4,H4)</f>
        <v>10745.699999999999</v>
      </c>
      <c r="J4" s="801">
        <f>+H4-I4</f>
        <v>0</v>
      </c>
    </row>
    <row r="5" spans="3:10" ht="13.8" x14ac:dyDescent="0.25">
      <c r="C5" s="661" t="s">
        <v>1019</v>
      </c>
      <c r="D5" s="794">
        <v>41678</v>
      </c>
      <c r="E5" s="795">
        <v>43050</v>
      </c>
      <c r="F5" s="795">
        <v>-38745</v>
      </c>
      <c r="G5" s="796">
        <f t="shared" si="0"/>
        <v>4305</v>
      </c>
      <c r="H5" s="801">
        <f>+E5*70%</f>
        <v>30134.999999999996</v>
      </c>
      <c r="I5" s="801">
        <f>MIN(-F5,H5)</f>
        <v>30134.999999999996</v>
      </c>
      <c r="J5" s="801">
        <f>+H5-I5</f>
        <v>0</v>
      </c>
    </row>
    <row r="6" spans="3:10" ht="13.8" x14ac:dyDescent="0.25">
      <c r="C6" s="797" t="s">
        <v>180</v>
      </c>
      <c r="D6" s="797"/>
      <c r="E6" s="798">
        <f t="shared" ref="E6:J6" si="1">SUM(E4:E5)</f>
        <v>58401</v>
      </c>
      <c r="F6" s="798">
        <f t="shared" si="1"/>
        <v>-52560.9</v>
      </c>
      <c r="G6" s="799">
        <f t="shared" si="1"/>
        <v>5840.1</v>
      </c>
      <c r="H6" s="802">
        <f t="shared" si="1"/>
        <v>40880.699999999997</v>
      </c>
      <c r="I6" s="802">
        <f t="shared" si="1"/>
        <v>40880.699999999997</v>
      </c>
      <c r="J6" s="802">
        <f t="shared" si="1"/>
        <v>0</v>
      </c>
    </row>
    <row r="8" spans="3:10" ht="13.8" x14ac:dyDescent="0.25">
      <c r="C8" s="1119" t="s">
        <v>76</v>
      </c>
      <c r="D8" s="1120"/>
      <c r="E8" s="1120"/>
      <c r="F8" s="1120"/>
      <c r="G8" s="1120"/>
      <c r="H8" s="1120"/>
      <c r="I8" s="1120"/>
      <c r="J8" s="1120"/>
    </row>
    <row r="9" spans="3:10" s="768" customFormat="1" ht="27.6" x14ac:dyDescent="0.25">
      <c r="C9" s="700" t="s">
        <v>1014</v>
      </c>
      <c r="D9" s="700" t="s">
        <v>1015</v>
      </c>
      <c r="E9" s="700" t="s">
        <v>1016</v>
      </c>
      <c r="F9" s="700" t="s">
        <v>1017</v>
      </c>
      <c r="G9" s="700" t="s">
        <v>1018</v>
      </c>
      <c r="H9" s="792" t="s">
        <v>1021</v>
      </c>
      <c r="I9" s="792" t="s">
        <v>1022</v>
      </c>
      <c r="J9" s="792" t="s">
        <v>1023</v>
      </c>
    </row>
    <row r="10" spans="3:10" ht="13.8" x14ac:dyDescent="0.25">
      <c r="C10" s="661" t="s">
        <v>1019</v>
      </c>
      <c r="D10" s="800">
        <v>43988</v>
      </c>
      <c r="E10" s="795">
        <f>96304.52/2</f>
        <v>48152.26</v>
      </c>
      <c r="F10" s="795">
        <v>-10366.83</v>
      </c>
      <c r="G10" s="796">
        <f t="shared" ref="G10:G24" si="2">SUM(E10:F10)</f>
        <v>37785.43</v>
      </c>
      <c r="H10" s="801">
        <f>+E10*70%</f>
        <v>33706.582000000002</v>
      </c>
      <c r="I10" s="801">
        <f>MIN(-F10,H10)</f>
        <v>10366.83</v>
      </c>
      <c r="J10" s="801">
        <f>+H10-I10</f>
        <v>23339.752</v>
      </c>
    </row>
    <row r="11" spans="3:10" ht="13.8" x14ac:dyDescent="0.25">
      <c r="C11" s="661" t="s">
        <v>769</v>
      </c>
      <c r="D11" s="800">
        <v>40124</v>
      </c>
      <c r="E11" s="795">
        <v>17400</v>
      </c>
      <c r="F11" s="795">
        <v>-15660</v>
      </c>
      <c r="G11" s="796">
        <f t="shared" si="2"/>
        <v>1740</v>
      </c>
      <c r="H11" s="801">
        <f>+E11*70%</f>
        <v>12180</v>
      </c>
      <c r="I11" s="801">
        <f>MIN(-F11,H11)</f>
        <v>12180</v>
      </c>
      <c r="J11" s="801">
        <f>+H11-I11</f>
        <v>0</v>
      </c>
    </row>
    <row r="12" spans="3:10" ht="13.8" x14ac:dyDescent="0.25">
      <c r="C12" s="661" t="s">
        <v>769</v>
      </c>
      <c r="D12" s="800">
        <v>42215</v>
      </c>
      <c r="E12" s="795">
        <v>39558</v>
      </c>
      <c r="F12" s="795">
        <v>-35602.199999999997</v>
      </c>
      <c r="G12" s="796">
        <f t="shared" si="2"/>
        <v>3955.8000000000029</v>
      </c>
      <c r="H12" s="801">
        <f t="shared" ref="H12:H24" si="3">+E12*70%</f>
        <v>27690.6</v>
      </c>
      <c r="I12" s="801">
        <f t="shared" ref="I12:I24" si="4">MIN(-F12,H12)</f>
        <v>27690.6</v>
      </c>
      <c r="J12" s="801">
        <f t="shared" ref="J12:J24" si="5">+H12-I12</f>
        <v>0</v>
      </c>
    </row>
    <row r="13" spans="3:10" ht="13.8" x14ac:dyDescent="0.25">
      <c r="C13" s="661" t="s">
        <v>1020</v>
      </c>
      <c r="D13" s="800">
        <v>39745</v>
      </c>
      <c r="E13" s="795">
        <v>8100</v>
      </c>
      <c r="F13" s="795">
        <v>-7290</v>
      </c>
      <c r="G13" s="796">
        <f t="shared" si="2"/>
        <v>810</v>
      </c>
      <c r="H13" s="801">
        <f t="shared" si="3"/>
        <v>5670</v>
      </c>
      <c r="I13" s="801">
        <f t="shared" si="4"/>
        <v>5670</v>
      </c>
      <c r="J13" s="801">
        <f t="shared" si="5"/>
        <v>0</v>
      </c>
    </row>
    <row r="14" spans="3:10" ht="13.8" x14ac:dyDescent="0.25">
      <c r="C14" s="661" t="s">
        <v>1020</v>
      </c>
      <c r="D14" s="800">
        <v>39722</v>
      </c>
      <c r="E14" s="795">
        <v>3262</v>
      </c>
      <c r="F14" s="795">
        <v>-3262</v>
      </c>
      <c r="G14" s="796">
        <f t="shared" si="2"/>
        <v>0</v>
      </c>
      <c r="H14" s="801">
        <f t="shared" si="3"/>
        <v>2283.3999999999996</v>
      </c>
      <c r="I14" s="801">
        <f t="shared" si="4"/>
        <v>2283.3999999999996</v>
      </c>
      <c r="J14" s="801">
        <f t="shared" si="5"/>
        <v>0</v>
      </c>
    </row>
    <row r="15" spans="3:10" ht="13.8" x14ac:dyDescent="0.25">
      <c r="C15" s="661" t="s">
        <v>1020</v>
      </c>
      <c r="D15" s="800">
        <v>39722</v>
      </c>
      <c r="E15" s="795">
        <v>47250</v>
      </c>
      <c r="F15" s="795">
        <v>-47250</v>
      </c>
      <c r="G15" s="796">
        <f t="shared" si="2"/>
        <v>0</v>
      </c>
      <c r="H15" s="801">
        <f t="shared" si="3"/>
        <v>33075</v>
      </c>
      <c r="I15" s="801">
        <f t="shared" si="4"/>
        <v>33075</v>
      </c>
      <c r="J15" s="801">
        <f t="shared" si="5"/>
        <v>0</v>
      </c>
    </row>
    <row r="16" spans="3:10" ht="13.8" x14ac:dyDescent="0.25">
      <c r="C16" s="661" t="s">
        <v>1020</v>
      </c>
      <c r="D16" s="800">
        <v>39722</v>
      </c>
      <c r="E16" s="795">
        <v>30375</v>
      </c>
      <c r="F16" s="795">
        <v>-30375</v>
      </c>
      <c r="G16" s="796">
        <f t="shared" si="2"/>
        <v>0</v>
      </c>
      <c r="H16" s="801">
        <f t="shared" si="3"/>
        <v>21262.5</v>
      </c>
      <c r="I16" s="801">
        <f t="shared" si="4"/>
        <v>21262.5</v>
      </c>
      <c r="J16" s="801">
        <f t="shared" si="5"/>
        <v>0</v>
      </c>
    </row>
    <row r="17" spans="3:10" ht="13.8" x14ac:dyDescent="0.25">
      <c r="C17" s="661" t="s">
        <v>1020</v>
      </c>
      <c r="D17" s="800">
        <v>39722</v>
      </c>
      <c r="E17" s="795">
        <v>3746</v>
      </c>
      <c r="F17" s="795">
        <v>-3746</v>
      </c>
      <c r="G17" s="796">
        <f t="shared" si="2"/>
        <v>0</v>
      </c>
      <c r="H17" s="801">
        <f t="shared" si="3"/>
        <v>2622.2</v>
      </c>
      <c r="I17" s="801">
        <f t="shared" si="4"/>
        <v>2622.2</v>
      </c>
      <c r="J17" s="801">
        <f t="shared" si="5"/>
        <v>0</v>
      </c>
    </row>
    <row r="18" spans="3:10" ht="13.8" x14ac:dyDescent="0.25">
      <c r="C18" s="661" t="s">
        <v>1020</v>
      </c>
      <c r="D18" s="800">
        <v>39995</v>
      </c>
      <c r="E18" s="795">
        <v>2450</v>
      </c>
      <c r="F18" s="795">
        <v>-2450</v>
      </c>
      <c r="G18" s="796">
        <f t="shared" si="2"/>
        <v>0</v>
      </c>
      <c r="H18" s="801">
        <f t="shared" si="3"/>
        <v>1715</v>
      </c>
      <c r="I18" s="801">
        <f t="shared" si="4"/>
        <v>1715</v>
      </c>
      <c r="J18" s="801">
        <f t="shared" si="5"/>
        <v>0</v>
      </c>
    </row>
    <row r="19" spans="3:10" ht="13.8" x14ac:dyDescent="0.25">
      <c r="C19" s="661" t="s">
        <v>1020</v>
      </c>
      <c r="D19" s="800">
        <v>39995</v>
      </c>
      <c r="E19" s="795">
        <v>2200</v>
      </c>
      <c r="F19" s="795">
        <v>-2200</v>
      </c>
      <c r="G19" s="796">
        <f t="shared" si="2"/>
        <v>0</v>
      </c>
      <c r="H19" s="801">
        <f t="shared" si="3"/>
        <v>1540</v>
      </c>
      <c r="I19" s="801">
        <f t="shared" si="4"/>
        <v>1540</v>
      </c>
      <c r="J19" s="801">
        <f t="shared" si="5"/>
        <v>0</v>
      </c>
    </row>
    <row r="20" spans="3:10" ht="13.8" x14ac:dyDescent="0.25">
      <c r="C20" s="661" t="s">
        <v>1020</v>
      </c>
      <c r="D20" s="800">
        <v>40081</v>
      </c>
      <c r="E20" s="795">
        <v>13386</v>
      </c>
      <c r="F20" s="795">
        <v>-11943.09</v>
      </c>
      <c r="G20" s="796">
        <f t="shared" si="2"/>
        <v>1442.9099999999999</v>
      </c>
      <c r="H20" s="801">
        <f t="shared" si="3"/>
        <v>9370.1999999999989</v>
      </c>
      <c r="I20" s="801">
        <f t="shared" si="4"/>
        <v>9370.1999999999989</v>
      </c>
      <c r="J20" s="801">
        <f t="shared" si="5"/>
        <v>0</v>
      </c>
    </row>
    <row r="21" spans="3:10" ht="13.8" x14ac:dyDescent="0.25">
      <c r="C21" s="661" t="s">
        <v>1020</v>
      </c>
      <c r="D21" s="800">
        <v>40081</v>
      </c>
      <c r="E21" s="795">
        <v>6014</v>
      </c>
      <c r="F21" s="795">
        <v>-5363.76</v>
      </c>
      <c r="G21" s="796">
        <f t="shared" si="2"/>
        <v>650.23999999999978</v>
      </c>
      <c r="H21" s="801">
        <f t="shared" si="3"/>
        <v>4209.8</v>
      </c>
      <c r="I21" s="801">
        <f t="shared" si="4"/>
        <v>4209.8</v>
      </c>
      <c r="J21" s="801">
        <f t="shared" si="5"/>
        <v>0</v>
      </c>
    </row>
    <row r="22" spans="3:10" ht="13.8" x14ac:dyDescent="0.25">
      <c r="C22" s="661" t="s">
        <v>1020</v>
      </c>
      <c r="D22" s="800">
        <v>40081</v>
      </c>
      <c r="E22" s="795">
        <v>24444</v>
      </c>
      <c r="F22" s="795">
        <v>-21810.27</v>
      </c>
      <c r="G22" s="796">
        <f t="shared" si="2"/>
        <v>2633.7299999999996</v>
      </c>
      <c r="H22" s="801">
        <f t="shared" si="3"/>
        <v>17110.8</v>
      </c>
      <c r="I22" s="801">
        <f t="shared" si="4"/>
        <v>17110.8</v>
      </c>
      <c r="J22" s="801">
        <f t="shared" si="5"/>
        <v>0</v>
      </c>
    </row>
    <row r="23" spans="3:10" ht="13.8" x14ac:dyDescent="0.25">
      <c r="C23" s="661" t="s">
        <v>1020</v>
      </c>
      <c r="D23" s="800">
        <v>40081</v>
      </c>
      <c r="E23" s="795">
        <v>14123</v>
      </c>
      <c r="F23" s="795">
        <v>-12598.18</v>
      </c>
      <c r="G23" s="796">
        <f t="shared" si="2"/>
        <v>1524.8199999999997</v>
      </c>
      <c r="H23" s="801">
        <f t="shared" si="3"/>
        <v>9886.0999999999985</v>
      </c>
      <c r="I23" s="801">
        <f t="shared" si="4"/>
        <v>9886.0999999999985</v>
      </c>
      <c r="J23" s="801">
        <f t="shared" si="5"/>
        <v>0</v>
      </c>
    </row>
    <row r="24" spans="3:10" ht="13.8" x14ac:dyDescent="0.25">
      <c r="C24" s="661" t="s">
        <v>1020</v>
      </c>
      <c r="D24" s="800">
        <v>40057</v>
      </c>
      <c r="E24" s="795">
        <v>3967</v>
      </c>
      <c r="F24" s="795">
        <v>-3967</v>
      </c>
      <c r="G24" s="796">
        <f t="shared" si="2"/>
        <v>0</v>
      </c>
      <c r="H24" s="801">
        <f t="shared" si="3"/>
        <v>2776.8999999999996</v>
      </c>
      <c r="I24" s="801">
        <f t="shared" si="4"/>
        <v>2776.8999999999996</v>
      </c>
      <c r="J24" s="801">
        <f t="shared" si="5"/>
        <v>0</v>
      </c>
    </row>
    <row r="25" spans="3:10" ht="13.8" x14ac:dyDescent="0.25">
      <c r="C25" s="797" t="s">
        <v>180</v>
      </c>
      <c r="D25" s="797"/>
      <c r="E25" s="798">
        <f>SUM(E10:E24)</f>
        <v>264427.26</v>
      </c>
      <c r="F25" s="798">
        <f>SUM(F10:F24)</f>
        <v>-213884.33</v>
      </c>
      <c r="G25" s="799">
        <f>SUM(G10:G24)</f>
        <v>50542.93</v>
      </c>
      <c r="H25" s="802">
        <f t="shared" ref="H25:J25" si="6">SUM(H10:H24)</f>
        <v>185099.08199999999</v>
      </c>
      <c r="I25" s="802">
        <f t="shared" si="6"/>
        <v>161759.32999999999</v>
      </c>
      <c r="J25" s="802">
        <f t="shared" si="6"/>
        <v>23339.752</v>
      </c>
    </row>
  </sheetData>
  <mergeCells count="2">
    <mergeCell ref="C2:J2"/>
    <mergeCell ref="C8:J8"/>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BA6FF-DB5C-4CE8-82E6-6E5A775C7EFE}">
  <dimension ref="D4:K18"/>
  <sheetViews>
    <sheetView showGridLines="0" topLeftCell="A5" workbookViewId="0">
      <selection activeCell="M10" sqref="M10"/>
    </sheetView>
  </sheetViews>
  <sheetFormatPr defaultColWidth="8.88671875" defaultRowHeight="13.2" x14ac:dyDescent="0.25"/>
  <cols>
    <col min="1" max="4" width="8.88671875" style="650"/>
    <col min="5" max="5" width="31.44140625" style="693" customWidth="1"/>
    <col min="6" max="6" width="11.5546875" style="693" bestFit="1" customWidth="1"/>
    <col min="7" max="7" width="8.88671875" style="650"/>
    <col min="8" max="8" width="12.33203125" style="650" customWidth="1"/>
    <col min="9" max="9" width="8.88671875" style="650"/>
    <col min="10" max="10" width="15.88671875" style="650" customWidth="1"/>
    <col min="11" max="11" width="53" style="650" customWidth="1"/>
    <col min="12" max="16384" width="8.88671875" style="650"/>
  </cols>
  <sheetData>
    <row r="4" spans="4:11" s="693" customFormat="1" ht="31.2" x14ac:dyDescent="0.25">
      <c r="D4" s="692" t="s">
        <v>1</v>
      </c>
      <c r="E4" s="692" t="s">
        <v>982</v>
      </c>
      <c r="F4" s="692" t="s">
        <v>1007</v>
      </c>
      <c r="G4" s="692" t="s">
        <v>983</v>
      </c>
      <c r="H4" s="692" t="s">
        <v>984</v>
      </c>
      <c r="I4" s="692" t="s">
        <v>985</v>
      </c>
      <c r="J4" s="692" t="s">
        <v>986</v>
      </c>
      <c r="K4" s="692" t="s">
        <v>79</v>
      </c>
    </row>
    <row r="5" spans="4:11" s="693" customFormat="1" ht="27.6" x14ac:dyDescent="0.25">
      <c r="D5" s="694">
        <v>1</v>
      </c>
      <c r="E5" s="695" t="s">
        <v>991</v>
      </c>
      <c r="F5" s="696" t="s">
        <v>265</v>
      </c>
      <c r="G5" s="697" t="s">
        <v>988</v>
      </c>
      <c r="H5" s="697">
        <v>1</v>
      </c>
      <c r="I5" s="698">
        <v>0.6</v>
      </c>
      <c r="J5" s="697" t="s">
        <v>761</v>
      </c>
      <c r="K5" s="699" t="s">
        <v>992</v>
      </c>
    </row>
    <row r="6" spans="4:11" s="693" customFormat="1" ht="15.6" x14ac:dyDescent="0.25">
      <c r="D6" s="694"/>
      <c r="E6" s="695"/>
      <c r="F6" s="696"/>
      <c r="G6" s="697"/>
      <c r="H6" s="697"/>
      <c r="I6" s="698"/>
      <c r="J6" s="697"/>
      <c r="K6" s="699"/>
    </row>
    <row r="7" spans="4:11" ht="27.6" x14ac:dyDescent="0.25">
      <c r="D7" s="700">
        <f>+D5+1</f>
        <v>2</v>
      </c>
      <c r="E7" s="701" t="s">
        <v>990</v>
      </c>
      <c r="F7" s="696" t="s">
        <v>272</v>
      </c>
      <c r="G7" s="702" t="s">
        <v>988</v>
      </c>
      <c r="H7" s="702">
        <v>1</v>
      </c>
      <c r="I7" s="846">
        <v>3.5000000000000003E-2</v>
      </c>
      <c r="J7" s="697" t="s">
        <v>762</v>
      </c>
      <c r="K7" s="704"/>
    </row>
    <row r="8" spans="4:11" ht="27.6" x14ac:dyDescent="0.25">
      <c r="D8" s="700">
        <f>+D7+1</f>
        <v>3</v>
      </c>
      <c r="E8" s="695" t="s">
        <v>987</v>
      </c>
      <c r="F8" s="696" t="s">
        <v>265</v>
      </c>
      <c r="G8" s="697" t="s">
        <v>988</v>
      </c>
      <c r="H8" s="697">
        <v>1</v>
      </c>
      <c r="I8" s="847">
        <v>8.9600000000000009</v>
      </c>
      <c r="J8" s="697" t="s">
        <v>762</v>
      </c>
      <c r="K8" s="699" t="s">
        <v>989</v>
      </c>
    </row>
    <row r="9" spans="4:11" ht="27.6" x14ac:dyDescent="0.25">
      <c r="D9" s="700">
        <f t="shared" ref="D9:D17" si="0">+D8+1</f>
        <v>4</v>
      </c>
      <c r="E9" s="695" t="s">
        <v>993</v>
      </c>
      <c r="F9" s="696" t="s">
        <v>265</v>
      </c>
      <c r="G9" s="697" t="s">
        <v>994</v>
      </c>
      <c r="H9" s="697">
        <v>1</v>
      </c>
      <c r="I9" s="705">
        <v>0.11</v>
      </c>
      <c r="J9" s="697" t="s">
        <v>762</v>
      </c>
      <c r="K9" s="706"/>
    </row>
    <row r="10" spans="4:11" ht="27.6" x14ac:dyDescent="0.25">
      <c r="D10" s="700">
        <f t="shared" si="0"/>
        <v>5</v>
      </c>
      <c r="E10" s="701" t="s">
        <v>995</v>
      </c>
      <c r="F10" s="696" t="s">
        <v>265</v>
      </c>
      <c r="G10" s="702" t="s">
        <v>994</v>
      </c>
      <c r="H10" s="702">
        <v>3</v>
      </c>
      <c r="I10" s="703">
        <v>5.0000000000000001E-3</v>
      </c>
      <c r="J10" s="702" t="s">
        <v>762</v>
      </c>
      <c r="K10" s="707" t="s">
        <v>996</v>
      </c>
    </row>
    <row r="11" spans="4:11" ht="26.4" x14ac:dyDescent="0.25">
      <c r="D11" s="700">
        <f t="shared" si="0"/>
        <v>6</v>
      </c>
      <c r="E11" s="701" t="s">
        <v>997</v>
      </c>
      <c r="F11" s="696" t="s">
        <v>769</v>
      </c>
      <c r="G11" s="702" t="s">
        <v>998</v>
      </c>
      <c r="H11" s="702">
        <v>3</v>
      </c>
      <c r="I11" s="703">
        <v>0.03</v>
      </c>
      <c r="J11" s="702" t="s">
        <v>762</v>
      </c>
      <c r="K11" s="707" t="s">
        <v>999</v>
      </c>
    </row>
    <row r="12" spans="4:11" ht="27.6" x14ac:dyDescent="0.25">
      <c r="D12" s="700">
        <f t="shared" si="0"/>
        <v>7</v>
      </c>
      <c r="E12" s="695" t="s">
        <v>1000</v>
      </c>
      <c r="F12" s="696" t="s">
        <v>265</v>
      </c>
      <c r="G12" s="697" t="s">
        <v>998</v>
      </c>
      <c r="H12" s="697">
        <v>3</v>
      </c>
      <c r="I12" s="705">
        <v>0.87</v>
      </c>
      <c r="J12" s="697" t="s">
        <v>762</v>
      </c>
      <c r="K12" s="706"/>
    </row>
    <row r="13" spans="4:11" ht="13.8" x14ac:dyDescent="0.25">
      <c r="D13" s="700">
        <f t="shared" si="0"/>
        <v>8</v>
      </c>
      <c r="E13" s="701" t="s">
        <v>1001</v>
      </c>
      <c r="F13" s="696" t="s">
        <v>266</v>
      </c>
      <c r="G13" s="702" t="s">
        <v>994</v>
      </c>
      <c r="H13" s="702">
        <v>1</v>
      </c>
      <c r="I13" s="703">
        <v>0.17</v>
      </c>
      <c r="J13" s="702" t="s">
        <v>762</v>
      </c>
      <c r="K13" s="708"/>
    </row>
    <row r="14" spans="4:11" ht="27.6" x14ac:dyDescent="0.25">
      <c r="D14" s="700">
        <f t="shared" si="0"/>
        <v>9</v>
      </c>
      <c r="E14" s="701" t="s">
        <v>1005</v>
      </c>
      <c r="F14" s="696" t="s">
        <v>272</v>
      </c>
      <c r="G14" s="702" t="s">
        <v>998</v>
      </c>
      <c r="H14" s="702">
        <v>2</v>
      </c>
      <c r="I14" s="703">
        <v>7.4999999999999997E-3</v>
      </c>
      <c r="J14" s="702" t="s">
        <v>762</v>
      </c>
      <c r="K14" s="661"/>
    </row>
    <row r="15" spans="4:11" ht="27.6" x14ac:dyDescent="0.25">
      <c r="D15" s="700">
        <f t="shared" si="0"/>
        <v>10</v>
      </c>
      <c r="E15" s="701" t="s">
        <v>1002</v>
      </c>
      <c r="F15" s="696" t="s">
        <v>265</v>
      </c>
      <c r="G15" s="702" t="s">
        <v>994</v>
      </c>
      <c r="H15" s="702">
        <v>2</v>
      </c>
      <c r="I15" s="703">
        <v>0.4</v>
      </c>
      <c r="J15" s="709" t="s">
        <v>763</v>
      </c>
      <c r="K15" s="707" t="s">
        <v>1034</v>
      </c>
    </row>
    <row r="16" spans="4:11" ht="27.6" x14ac:dyDescent="0.25">
      <c r="D16" s="700">
        <f t="shared" si="0"/>
        <v>11</v>
      </c>
      <c r="E16" s="701" t="s">
        <v>1003</v>
      </c>
      <c r="F16" s="696" t="s">
        <v>265</v>
      </c>
      <c r="G16" s="702" t="s">
        <v>1004</v>
      </c>
      <c r="H16" s="702">
        <v>55</v>
      </c>
      <c r="I16" s="703">
        <v>3.18</v>
      </c>
      <c r="J16" s="702" t="s">
        <v>764</v>
      </c>
      <c r="K16" s="661"/>
    </row>
    <row r="17" spans="4:11" ht="27.6" x14ac:dyDescent="0.25">
      <c r="D17" s="700">
        <f t="shared" si="0"/>
        <v>12</v>
      </c>
      <c r="E17" s="701" t="s">
        <v>1006</v>
      </c>
      <c r="F17" s="696" t="s">
        <v>265</v>
      </c>
      <c r="G17" s="702" t="s">
        <v>994</v>
      </c>
      <c r="H17" s="702">
        <v>12</v>
      </c>
      <c r="I17" s="703">
        <f>0.96*1.181</f>
        <v>1.1337600000000001</v>
      </c>
      <c r="J17" s="702" t="s">
        <v>765</v>
      </c>
      <c r="K17" s="661"/>
    </row>
    <row r="18" spans="4:11" ht="13.8" x14ac:dyDescent="0.25">
      <c r="D18" s="702"/>
      <c r="E18" s="701"/>
      <c r="F18" s="710"/>
      <c r="G18" s="702"/>
      <c r="H18" s="702"/>
      <c r="I18" s="711">
        <f>SUM(I7:I17)</f>
        <v>14.901260000000001</v>
      </c>
      <c r="J18" s="702"/>
      <c r="K18" s="661"/>
    </row>
  </sheetData>
  <sortState xmlns:xlrd2="http://schemas.microsoft.com/office/spreadsheetml/2017/richdata2" ref="E7:K17">
    <sortCondition ref="J7:J17"/>
  </sortState>
  <pageMargins left="0.7" right="0.7" top="0.75" bottom="0.75" header="0.3" footer="0.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4EA0061C-9C94-48A1-ACDA-B50C58A8320A}">
          <x14:formula1>
            <xm:f>'F4 '!$C$16:$C$21</xm:f>
          </x14:formula1>
          <xm:sqref>F5:F17</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9D67F-E615-42AD-8678-34CF7925C310}">
  <dimension ref="E4:J37"/>
  <sheetViews>
    <sheetView showGridLines="0" topLeftCell="A15" workbookViewId="0">
      <selection activeCell="M22" sqref="M16:N22"/>
    </sheetView>
  </sheetViews>
  <sheetFormatPr defaultRowHeight="13.2" x14ac:dyDescent="0.25"/>
  <cols>
    <col min="5" max="5" width="53.6640625" bestFit="1" customWidth="1"/>
    <col min="6" max="10" width="10.6640625" bestFit="1" customWidth="1"/>
  </cols>
  <sheetData>
    <row r="4" spans="5:10" ht="13.8" x14ac:dyDescent="0.25">
      <c r="E4" s="936" t="s">
        <v>1044</v>
      </c>
      <c r="F4" s="936"/>
      <c r="G4" s="936"/>
      <c r="H4" s="936"/>
      <c r="I4" s="936"/>
      <c r="J4" s="936"/>
    </row>
    <row r="5" spans="5:10" ht="13.8" x14ac:dyDescent="0.25">
      <c r="E5" s="936" t="s">
        <v>74</v>
      </c>
      <c r="F5" s="418" t="s">
        <v>87</v>
      </c>
      <c r="G5" s="418" t="s">
        <v>88</v>
      </c>
      <c r="H5" s="418" t="s">
        <v>89</v>
      </c>
      <c r="I5" s="418" t="s">
        <v>90</v>
      </c>
      <c r="J5" s="418" t="s">
        <v>91</v>
      </c>
    </row>
    <row r="6" spans="5:10" ht="13.8" x14ac:dyDescent="0.25">
      <c r="E6" s="936"/>
      <c r="F6" s="418" t="s">
        <v>103</v>
      </c>
      <c r="G6" s="418" t="s">
        <v>103</v>
      </c>
      <c r="H6" s="418" t="s">
        <v>103</v>
      </c>
      <c r="I6" s="418" t="s">
        <v>103</v>
      </c>
      <c r="J6" s="418" t="s">
        <v>103</v>
      </c>
    </row>
    <row r="7" spans="5:10" ht="13.8" x14ac:dyDescent="0.25">
      <c r="E7" s="28" t="s">
        <v>430</v>
      </c>
      <c r="F7" s="857">
        <f>+'F5'!K17</f>
        <v>23.969862280480285</v>
      </c>
      <c r="G7" s="857">
        <f ca="1">+F10</f>
        <v>16.254645002400665</v>
      </c>
      <c r="H7" s="857">
        <f t="shared" ref="H7:J7" ca="1" si="0">+G10</f>
        <v>8.5500859042410458</v>
      </c>
      <c r="I7" s="857">
        <f t="shared" ca="1" si="0"/>
        <v>0.85341984329142662</v>
      </c>
      <c r="J7" s="857">
        <f t="shared" ca="1" si="0"/>
        <v>0</v>
      </c>
    </row>
    <row r="8" spans="5:10" ht="13.8" x14ac:dyDescent="0.25">
      <c r="E8" s="28" t="s">
        <v>432</v>
      </c>
      <c r="F8" s="858">
        <v>0</v>
      </c>
      <c r="G8" s="858">
        <v>0</v>
      </c>
      <c r="H8" s="858">
        <v>0</v>
      </c>
      <c r="I8" s="858">
        <v>0</v>
      </c>
      <c r="J8" s="858">
        <v>0</v>
      </c>
    </row>
    <row r="9" spans="5:10" ht="13.8" x14ac:dyDescent="0.25">
      <c r="E9" s="28" t="s">
        <v>433</v>
      </c>
      <c r="F9" s="857">
        <f ca="1">+'F4.1 (E) Exisiting'!T57</f>
        <v>7.7045590981596188</v>
      </c>
      <c r="G9" s="857">
        <f ca="1">+'F4.1 (E) Exisiting'!E74</f>
        <v>7.7045590981596188</v>
      </c>
      <c r="H9" s="857">
        <f ca="1">+'F4.1 (E) Exisiting'!J74</f>
        <v>7.7018945531796188</v>
      </c>
      <c r="I9" s="857">
        <f ca="1">MIN(+'F4.1 (E) Exisiting'!O74,I7)</f>
        <v>0.85341984329142662</v>
      </c>
      <c r="J9" s="857">
        <f ca="1">MIN(+'F4.1 (E) Exisiting'!T74,J7)</f>
        <v>0</v>
      </c>
    </row>
    <row r="10" spans="5:10" ht="13.8" x14ac:dyDescent="0.25">
      <c r="E10" s="28" t="s">
        <v>434</v>
      </c>
      <c r="F10" s="857">
        <f ca="1">+F7+F8-F9</f>
        <v>16.265303182320665</v>
      </c>
      <c r="G10" s="857">
        <f t="shared" ref="G10:J10" ca="1" si="1">+G7+G8-G9</f>
        <v>8.5500859042410458</v>
      </c>
      <c r="H10" s="857">
        <f t="shared" ca="1" si="1"/>
        <v>0.84819135106142696</v>
      </c>
      <c r="I10" s="857">
        <f t="shared" ca="1" si="1"/>
        <v>0</v>
      </c>
      <c r="J10" s="857">
        <f t="shared" ca="1" si="1"/>
        <v>0</v>
      </c>
    </row>
    <row r="11" spans="5:10" ht="13.8" x14ac:dyDescent="0.25">
      <c r="E11" s="28" t="s">
        <v>436</v>
      </c>
      <c r="F11" s="857">
        <f ca="1">AVERAGE(F10,F7)</f>
        <v>20.117582731400475</v>
      </c>
      <c r="G11" s="857">
        <f t="shared" ref="G11:J11" ca="1" si="2">AVERAGE(G10,G7)</f>
        <v>12.402365453320854</v>
      </c>
      <c r="H11" s="857">
        <f t="shared" ca="1" si="2"/>
        <v>4.6991386276512364</v>
      </c>
      <c r="I11" s="857">
        <f t="shared" ca="1" si="2"/>
        <v>0.42670992164571331</v>
      </c>
      <c r="J11" s="857">
        <f t="shared" ca="1" si="2"/>
        <v>0</v>
      </c>
    </row>
    <row r="12" spans="5:10" ht="13.8" x14ac:dyDescent="0.25">
      <c r="E12" s="28" t="s">
        <v>437</v>
      </c>
      <c r="F12" s="859">
        <f>+Assum!G7</f>
        <v>8.2299999999999998E-2</v>
      </c>
      <c r="G12" s="859">
        <f>+Assum!H7</f>
        <v>8.2299999999999998E-2</v>
      </c>
      <c r="H12" s="859">
        <f>+Assum!I7</f>
        <v>8.2299999999999998E-2</v>
      </c>
      <c r="I12" s="859">
        <f>+Assum!J7</f>
        <v>8.2299999999999998E-2</v>
      </c>
      <c r="J12" s="859">
        <f>+Assum!K7</f>
        <v>8.2299999999999998E-2</v>
      </c>
    </row>
    <row r="13" spans="5:10" ht="13.8" x14ac:dyDescent="0.25">
      <c r="E13" s="29" t="s">
        <v>440</v>
      </c>
      <c r="F13" s="858">
        <f ca="1">+F11*F12</f>
        <v>1.6556770587942591</v>
      </c>
      <c r="G13" s="858">
        <f t="shared" ref="G13:J13" ca="1" si="3">+G11*G12</f>
        <v>1.0207146768083062</v>
      </c>
      <c r="H13" s="858">
        <f t="shared" ca="1" si="3"/>
        <v>0.38673910905569675</v>
      </c>
      <c r="I13" s="858">
        <f t="shared" ca="1" si="3"/>
        <v>3.5118226551442207E-2</v>
      </c>
      <c r="J13" s="858">
        <f t="shared" ca="1" si="3"/>
        <v>0</v>
      </c>
    </row>
    <row r="16" spans="5:10" ht="13.8" x14ac:dyDescent="0.25">
      <c r="E16" s="936" t="s">
        <v>1045</v>
      </c>
      <c r="F16" s="936"/>
      <c r="G16" s="936"/>
      <c r="H16" s="936"/>
      <c r="I16" s="936"/>
      <c r="J16" s="936"/>
    </row>
    <row r="17" spans="5:10" ht="13.8" x14ac:dyDescent="0.25">
      <c r="E17" s="936" t="s">
        <v>74</v>
      </c>
      <c r="F17" s="418" t="s">
        <v>87</v>
      </c>
      <c r="G17" s="418" t="s">
        <v>88</v>
      </c>
      <c r="H17" s="418" t="s">
        <v>89</v>
      </c>
      <c r="I17" s="418" t="s">
        <v>90</v>
      </c>
      <c r="J17" s="418" t="s">
        <v>91</v>
      </c>
    </row>
    <row r="18" spans="5:10" ht="13.8" x14ac:dyDescent="0.25">
      <c r="E18" s="936"/>
      <c r="F18" s="418" t="s">
        <v>103</v>
      </c>
      <c r="G18" s="418" t="s">
        <v>103</v>
      </c>
      <c r="H18" s="418" t="s">
        <v>103</v>
      </c>
      <c r="I18" s="418" t="s">
        <v>103</v>
      </c>
      <c r="J18" s="418" t="s">
        <v>103</v>
      </c>
    </row>
    <row r="19" spans="5:10" ht="13.8" x14ac:dyDescent="0.25">
      <c r="E19" s="28" t="s">
        <v>430</v>
      </c>
      <c r="F19" s="857">
        <v>0</v>
      </c>
      <c r="G19" s="857">
        <f>+F22</f>
        <v>6.9149763749999993</v>
      </c>
      <c r="H19" s="857">
        <f t="shared" ref="H19:J19" si="4">+G22</f>
        <v>6.7539891249999995</v>
      </c>
      <c r="I19" s="857">
        <f t="shared" si="4"/>
        <v>8.4634638749999986</v>
      </c>
      <c r="J19" s="857">
        <f t="shared" si="4"/>
        <v>8.6495502889999987</v>
      </c>
    </row>
    <row r="20" spans="5:10" ht="13.8" x14ac:dyDescent="0.25">
      <c r="E20" s="28" t="s">
        <v>432</v>
      </c>
      <c r="F20" s="858">
        <f>+'F3'!O14*Assum!G5</f>
        <v>7.1312499999999996</v>
      </c>
      <c r="G20" s="858">
        <f>+'F3'!P14*Assum!H5</f>
        <v>0.27999999999999997</v>
      </c>
      <c r="H20" s="858">
        <f>+'F3'!Q14*Assum!I5</f>
        <v>2.226</v>
      </c>
      <c r="I20" s="858">
        <f>+'F3'!R14*Assum!J5</f>
        <v>0.793632</v>
      </c>
      <c r="J20" s="858">
        <f>+'F3'!S14*Assum!K5</f>
        <v>0</v>
      </c>
    </row>
    <row r="21" spans="5:10" ht="13.8" x14ac:dyDescent="0.25">
      <c r="E21" s="28" t="s">
        <v>433</v>
      </c>
      <c r="F21" s="857">
        <f>+'F4.1 (N) New'!E48</f>
        <v>0.21627362500000002</v>
      </c>
      <c r="G21" s="857">
        <f>+'F4.1 (N) New'!J48</f>
        <v>0.44098725000000005</v>
      </c>
      <c r="H21" s="857">
        <f>+'F4.1 (N) New'!O48</f>
        <v>0.51652524999999994</v>
      </c>
      <c r="I21" s="857">
        <f>+'F4.1 (N) New'!T48</f>
        <v>0.60754558599999997</v>
      </c>
      <c r="J21" s="857">
        <f>+'F4.1 (N) New'!Y48</f>
        <v>0.63146792200000001</v>
      </c>
    </row>
    <row r="22" spans="5:10" ht="13.8" x14ac:dyDescent="0.25">
      <c r="E22" s="28" t="s">
        <v>434</v>
      </c>
      <c r="F22" s="857">
        <f>+F19+F20-F21</f>
        <v>6.9149763749999993</v>
      </c>
      <c r="G22" s="857">
        <f t="shared" ref="G22" si="5">+G19+G20-G21</f>
        <v>6.7539891249999995</v>
      </c>
      <c r="H22" s="857">
        <f t="shared" ref="H22" si="6">+H19+H20-H21</f>
        <v>8.4634638749999986</v>
      </c>
      <c r="I22" s="857">
        <f t="shared" ref="I22" si="7">+I19+I20-I21</f>
        <v>8.6495502889999987</v>
      </c>
      <c r="J22" s="857">
        <f t="shared" ref="J22" si="8">+J19+J20-J21</f>
        <v>8.0180823669999981</v>
      </c>
    </row>
    <row r="23" spans="5:10" ht="13.8" x14ac:dyDescent="0.25">
      <c r="E23" s="28" t="s">
        <v>436</v>
      </c>
      <c r="F23" s="857">
        <f>AVERAGE(F22,F19)</f>
        <v>3.4574881874999996</v>
      </c>
      <c r="G23" s="857">
        <f t="shared" ref="G23" si="9">AVERAGE(G22,G19)</f>
        <v>6.8344827499999994</v>
      </c>
      <c r="H23" s="857">
        <f t="shared" ref="H23" si="10">AVERAGE(H22,H19)</f>
        <v>7.6087264999999995</v>
      </c>
      <c r="I23" s="857">
        <f t="shared" ref="I23" si="11">AVERAGE(I22,I19)</f>
        <v>8.5565070819999995</v>
      </c>
      <c r="J23" s="857">
        <f t="shared" ref="J23" si="12">AVERAGE(J22,J19)</f>
        <v>8.3338163279999975</v>
      </c>
    </row>
    <row r="24" spans="5:10" ht="13.8" x14ac:dyDescent="0.25">
      <c r="E24" s="28" t="s">
        <v>437</v>
      </c>
      <c r="F24" s="859">
        <f>+Assum!G7</f>
        <v>8.2299999999999998E-2</v>
      </c>
      <c r="G24" s="859">
        <f>+Assum!H7</f>
        <v>8.2299999999999998E-2</v>
      </c>
      <c r="H24" s="859">
        <f>+Assum!I7</f>
        <v>8.2299999999999998E-2</v>
      </c>
      <c r="I24" s="859">
        <f>+Assum!J7</f>
        <v>8.2299999999999998E-2</v>
      </c>
      <c r="J24" s="859">
        <f>+Assum!K7</f>
        <v>8.2299999999999998E-2</v>
      </c>
    </row>
    <row r="25" spans="5:10" ht="13.8" x14ac:dyDescent="0.25">
      <c r="E25" s="29" t="s">
        <v>440</v>
      </c>
      <c r="F25" s="858">
        <f>+F23*F24</f>
        <v>0.28455127783124995</v>
      </c>
      <c r="G25" s="858">
        <f t="shared" ref="G25" si="13">+G23*G24</f>
        <v>0.56247793032499993</v>
      </c>
      <c r="H25" s="858">
        <f t="shared" ref="H25" si="14">+H23*H24</f>
        <v>0.62619819094999996</v>
      </c>
      <c r="I25" s="858">
        <f t="shared" ref="I25" si="15">+I23*I24</f>
        <v>0.70420053284859996</v>
      </c>
      <c r="J25" s="858">
        <f t="shared" ref="J25" si="16">+J23*J24</f>
        <v>0.68587308379439982</v>
      </c>
    </row>
    <row r="27" spans="5:10" ht="13.8" x14ac:dyDescent="0.25">
      <c r="E27" s="936" t="s">
        <v>1043</v>
      </c>
      <c r="F27" s="936"/>
      <c r="G27" s="936"/>
      <c r="H27" s="936"/>
      <c r="I27" s="936"/>
      <c r="J27" s="936"/>
    </row>
    <row r="28" spans="5:10" ht="13.8" x14ac:dyDescent="0.25">
      <c r="E28" s="936" t="s">
        <v>74</v>
      </c>
      <c r="F28" s="418" t="s">
        <v>87</v>
      </c>
      <c r="G28" s="418" t="s">
        <v>88</v>
      </c>
      <c r="H28" s="418" t="s">
        <v>89</v>
      </c>
      <c r="I28" s="418" t="s">
        <v>90</v>
      </c>
      <c r="J28" s="418" t="s">
        <v>91</v>
      </c>
    </row>
    <row r="29" spans="5:10" ht="13.8" x14ac:dyDescent="0.25">
      <c r="E29" s="936"/>
      <c r="F29" s="418" t="s">
        <v>103</v>
      </c>
      <c r="G29" s="418" t="s">
        <v>103</v>
      </c>
      <c r="H29" s="418" t="s">
        <v>103</v>
      </c>
      <c r="I29" s="418" t="s">
        <v>103</v>
      </c>
      <c r="J29" s="418" t="s">
        <v>103</v>
      </c>
    </row>
    <row r="30" spans="5:10" ht="13.8" x14ac:dyDescent="0.25">
      <c r="E30" s="28" t="s">
        <v>430</v>
      </c>
      <c r="F30" s="857">
        <f>+F7+F19</f>
        <v>23.969862280480285</v>
      </c>
      <c r="G30" s="857">
        <f ca="1">+F33</f>
        <v>23.169621377400667</v>
      </c>
      <c r="H30" s="857">
        <f t="shared" ref="H30:J30" ca="1" si="17">+G33</f>
        <v>15.304075029241048</v>
      </c>
      <c r="I30" s="857">
        <f t="shared" ca="1" si="17"/>
        <v>9.3168837182914288</v>
      </c>
      <c r="J30" s="857">
        <f t="shared" ca="1" si="17"/>
        <v>8.6495502890000022</v>
      </c>
    </row>
    <row r="31" spans="5:10" ht="13.8" x14ac:dyDescent="0.25">
      <c r="E31" s="28" t="s">
        <v>432</v>
      </c>
      <c r="F31" s="857">
        <f>+F8+F20</f>
        <v>7.1312499999999996</v>
      </c>
      <c r="G31" s="857">
        <f t="shared" ref="G31:J32" si="18">+G8+G20</f>
        <v>0.27999999999999997</v>
      </c>
      <c r="H31" s="857">
        <f t="shared" si="18"/>
        <v>2.226</v>
      </c>
      <c r="I31" s="857">
        <f t="shared" si="18"/>
        <v>0.793632</v>
      </c>
      <c r="J31" s="857">
        <f t="shared" si="18"/>
        <v>0</v>
      </c>
    </row>
    <row r="32" spans="5:10" ht="13.8" x14ac:dyDescent="0.25">
      <c r="E32" s="28" t="s">
        <v>433</v>
      </c>
      <c r="F32" s="857">
        <f ca="1">+F9+F21</f>
        <v>7.9208327231596192</v>
      </c>
      <c r="G32" s="857">
        <f t="shared" ca="1" si="18"/>
        <v>8.1455463481596198</v>
      </c>
      <c r="H32" s="857">
        <f t="shared" ca="1" si="18"/>
        <v>8.2184198031796178</v>
      </c>
      <c r="I32" s="857">
        <f t="shared" ca="1" si="18"/>
        <v>1.4609654292914267</v>
      </c>
      <c r="J32" s="857">
        <f t="shared" ca="1" si="18"/>
        <v>0.63146792200000001</v>
      </c>
    </row>
    <row r="33" spans="5:10" ht="13.8" x14ac:dyDescent="0.25">
      <c r="E33" s="28" t="s">
        <v>434</v>
      </c>
      <c r="F33" s="857">
        <f ca="1">+F30+F31-F32</f>
        <v>23.180279557320667</v>
      </c>
      <c r="G33" s="857">
        <f t="shared" ref="G33" ca="1" si="19">+G30+G31-G32</f>
        <v>15.304075029241048</v>
      </c>
      <c r="H33" s="857">
        <f t="shared" ref="H33" ca="1" si="20">+H30+H31-H32</f>
        <v>9.3116552260614291</v>
      </c>
      <c r="I33" s="857">
        <f t="shared" ref="I33" ca="1" si="21">+I30+I31-I32</f>
        <v>8.6495502890000022</v>
      </c>
      <c r="J33" s="857">
        <f t="shared" ref="J33" ca="1" si="22">+J30+J31-J32</f>
        <v>8.0180823670000017</v>
      </c>
    </row>
    <row r="34" spans="5:10" ht="13.8" x14ac:dyDescent="0.25">
      <c r="E34" s="28" t="s">
        <v>436</v>
      </c>
      <c r="F34" s="857">
        <f ca="1">AVERAGE(F33,F30)</f>
        <v>23.575070918900476</v>
      </c>
      <c r="G34" s="857">
        <f t="shared" ref="G34" ca="1" si="23">AVERAGE(G33,G30)</f>
        <v>19.236848203320857</v>
      </c>
      <c r="H34" s="857">
        <f t="shared" ref="H34" ca="1" si="24">AVERAGE(H33,H30)</f>
        <v>12.307865127651239</v>
      </c>
      <c r="I34" s="857">
        <f t="shared" ref="I34" ca="1" si="25">AVERAGE(I33,I30)</f>
        <v>8.9832170036457164</v>
      </c>
      <c r="J34" s="857">
        <f t="shared" ref="J34" ca="1" si="26">AVERAGE(J33,J30)</f>
        <v>8.3338163280000011</v>
      </c>
    </row>
    <row r="35" spans="5:10" ht="13.8" x14ac:dyDescent="0.25">
      <c r="E35" s="28" t="s">
        <v>437</v>
      </c>
      <c r="F35" s="859">
        <f ca="1">+F36/F34</f>
        <v>8.2281396276379537E-2</v>
      </c>
      <c r="G35" s="859">
        <f t="shared" ref="G35:J35" ca="1" si="27">+G36/G34</f>
        <v>8.2322799166426444E-2</v>
      </c>
      <c r="H35" s="859">
        <f t="shared" ca="1" si="27"/>
        <v>8.2317480891530154E-2</v>
      </c>
      <c r="I35" s="859">
        <f t="shared" ca="1" si="27"/>
        <v>8.2276049509304131E-2</v>
      </c>
      <c r="J35" s="859">
        <f t="shared" ca="1" si="27"/>
        <v>8.229999999999997E-2</v>
      </c>
    </row>
    <row r="36" spans="5:10" ht="13.8" x14ac:dyDescent="0.25">
      <c r="E36" s="29" t="s">
        <v>440</v>
      </c>
      <c r="F36" s="857">
        <f t="shared" ref="F36:J36" ca="1" si="28">+F13+F25</f>
        <v>1.9402283366255091</v>
      </c>
      <c r="G36" s="857">
        <f t="shared" ca="1" si="28"/>
        <v>1.5831926071333062</v>
      </c>
      <c r="H36" s="857">
        <f t="shared" ca="1" si="28"/>
        <v>1.0129373000056967</v>
      </c>
      <c r="I36" s="857">
        <f t="shared" ca="1" si="28"/>
        <v>0.73931875940004221</v>
      </c>
      <c r="J36" s="857">
        <f t="shared" ca="1" si="28"/>
        <v>0.68587308379439982</v>
      </c>
    </row>
    <row r="37" spans="5:10" x14ac:dyDescent="0.25">
      <c r="F37" s="861"/>
      <c r="G37" s="861"/>
      <c r="H37" s="861"/>
      <c r="I37" s="861"/>
      <c r="J37" s="861"/>
    </row>
  </sheetData>
  <mergeCells count="6">
    <mergeCell ref="E28:E29"/>
    <mergeCell ref="E5:E6"/>
    <mergeCell ref="E4:J4"/>
    <mergeCell ref="E16:J16"/>
    <mergeCell ref="E17:E18"/>
    <mergeCell ref="E27:J27"/>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U120"/>
  <sheetViews>
    <sheetView showGridLines="0" view="pageBreakPreview" topLeftCell="A78" zoomScale="63" zoomScaleNormal="75" workbookViewId="0">
      <selection activeCell="C105" sqref="C105"/>
    </sheetView>
  </sheetViews>
  <sheetFormatPr defaultColWidth="9.33203125" defaultRowHeight="13.8" x14ac:dyDescent="0.25"/>
  <cols>
    <col min="1" max="1" width="6.6640625" style="19" customWidth="1"/>
    <col min="2" max="2" width="7" style="19" customWidth="1"/>
    <col min="3" max="3" width="48.6640625" style="148" customWidth="1"/>
    <col min="4" max="4" width="9.5546875" style="19" customWidth="1"/>
    <col min="5" max="5" width="12.6640625" style="19" bestFit="1" customWidth="1"/>
    <col min="6" max="6" width="13" style="19" bestFit="1" customWidth="1"/>
    <col min="7" max="7" width="11.33203125" style="19" customWidth="1"/>
    <col min="8" max="8" width="12.6640625" style="19" bestFit="1" customWidth="1"/>
    <col min="9" max="9" width="13.5546875" style="19" customWidth="1"/>
    <col min="10" max="10" width="10.44140625" style="19" customWidth="1"/>
    <col min="11" max="11" width="10.33203125" style="19" bestFit="1" customWidth="1"/>
    <col min="12" max="12" width="17.109375" style="19" customWidth="1"/>
    <col min="13" max="17" width="12.6640625" style="19" customWidth="1"/>
    <col min="18" max="20" width="18.6640625" style="19" customWidth="1"/>
    <col min="21" max="16384" width="9.33203125" style="19"/>
  </cols>
  <sheetData>
    <row r="2" spans="2:21" x14ac:dyDescent="0.25">
      <c r="H2" s="20"/>
      <c r="I2" s="299" t="str">
        <f>Index!B2</f>
        <v>JAIGAD POWER TRANSCO LIMITED (JPTL)</v>
      </c>
      <c r="J2" s="20"/>
      <c r="K2" s="20"/>
      <c r="L2" s="20"/>
      <c r="M2" s="20"/>
      <c r="N2" s="20"/>
      <c r="O2" s="20"/>
      <c r="P2" s="20"/>
      <c r="Q2" s="20"/>
    </row>
    <row r="3" spans="2:21" s="21" customFormat="1" x14ac:dyDescent="0.25">
      <c r="C3" s="906"/>
      <c r="H3" s="22"/>
      <c r="I3" s="142" t="s">
        <v>0</v>
      </c>
      <c r="J3" s="22"/>
      <c r="K3" s="22"/>
      <c r="L3" s="22"/>
      <c r="M3" s="22"/>
      <c r="N3" s="22"/>
      <c r="O3" s="22"/>
      <c r="P3" s="22"/>
      <c r="Q3" s="22"/>
    </row>
    <row r="4" spans="2:21" s="21" customFormat="1" x14ac:dyDescent="0.25">
      <c r="C4" s="906"/>
      <c r="H4" s="22"/>
      <c r="I4" s="52" t="s">
        <v>422</v>
      </c>
      <c r="J4" s="69"/>
      <c r="K4" s="22"/>
      <c r="L4" s="22"/>
      <c r="M4" s="22"/>
      <c r="N4" s="22"/>
      <c r="O4" s="22"/>
      <c r="P4" s="22"/>
      <c r="Q4" s="22"/>
    </row>
    <row r="5" spans="2:21" s="21" customFormat="1" x14ac:dyDescent="0.25">
      <c r="C5" s="907"/>
      <c r="D5" s="23"/>
      <c r="E5" s="23"/>
      <c r="F5" s="23"/>
      <c r="G5" s="23"/>
      <c r="H5" s="22"/>
      <c r="I5" s="68"/>
      <c r="J5" s="69"/>
      <c r="K5" s="22"/>
      <c r="L5" s="22"/>
      <c r="M5" s="22"/>
      <c r="N5" s="22"/>
      <c r="O5" s="22"/>
      <c r="P5" s="22"/>
      <c r="Q5" s="22"/>
    </row>
    <row r="6" spans="2:21" s="21" customFormat="1" x14ac:dyDescent="0.25">
      <c r="B6" s="119"/>
      <c r="C6" s="908" t="s">
        <v>423</v>
      </c>
      <c r="D6" s="408"/>
      <c r="E6" s="408"/>
      <c r="F6" s="408"/>
      <c r="G6" s="22"/>
      <c r="H6" s="68"/>
      <c r="I6" s="69"/>
      <c r="J6" s="22"/>
      <c r="K6" s="22"/>
      <c r="L6" s="22"/>
      <c r="M6" s="22"/>
      <c r="N6" s="22"/>
      <c r="O6" s="22"/>
      <c r="P6" s="22"/>
    </row>
    <row r="7" spans="2:21" s="21" customFormat="1" x14ac:dyDescent="0.25">
      <c r="B7" s="119"/>
      <c r="C7" s="907"/>
      <c r="D7" s="23"/>
      <c r="E7" s="23"/>
      <c r="F7" s="23"/>
      <c r="G7" s="23"/>
      <c r="H7" s="22"/>
      <c r="I7" s="22"/>
      <c r="J7" s="22"/>
      <c r="K7" s="68"/>
      <c r="L7" s="68"/>
      <c r="M7" s="69"/>
      <c r="N7" s="22"/>
      <c r="O7" s="22"/>
      <c r="P7" s="22"/>
      <c r="Q7" s="22"/>
      <c r="R7" s="24" t="s">
        <v>73</v>
      </c>
    </row>
    <row r="8" spans="2:21" ht="15" customHeight="1" x14ac:dyDescent="0.25">
      <c r="B8" s="941" t="s">
        <v>424</v>
      </c>
      <c r="C8" s="941" t="s">
        <v>425</v>
      </c>
      <c r="D8" s="945" t="s">
        <v>75</v>
      </c>
      <c r="E8" s="946"/>
      <c r="F8" s="947"/>
      <c r="G8" s="945" t="s">
        <v>76</v>
      </c>
      <c r="H8" s="946"/>
      <c r="I8" s="947"/>
      <c r="J8" s="945" t="s">
        <v>77</v>
      </c>
      <c r="K8" s="946"/>
      <c r="L8" s="947"/>
      <c r="M8" s="945" t="s">
        <v>426</v>
      </c>
      <c r="N8" s="946"/>
      <c r="O8" s="946"/>
      <c r="P8" s="946"/>
      <c r="Q8" s="947"/>
      <c r="R8" s="1034" t="s">
        <v>79</v>
      </c>
    </row>
    <row r="9" spans="2:21" ht="27.6" x14ac:dyDescent="0.25">
      <c r="B9" s="941"/>
      <c r="C9" s="941"/>
      <c r="D9" s="418" t="s">
        <v>80</v>
      </c>
      <c r="E9" s="418" t="s">
        <v>81</v>
      </c>
      <c r="F9" s="418" t="s">
        <v>82</v>
      </c>
      <c r="G9" s="418" t="s">
        <v>80</v>
      </c>
      <c r="H9" s="418" t="s">
        <v>81</v>
      </c>
      <c r="I9" s="418" t="s">
        <v>82</v>
      </c>
      <c r="J9" s="418" t="s">
        <v>80</v>
      </c>
      <c r="K9" s="418" t="s">
        <v>135</v>
      </c>
      <c r="L9" s="418" t="s">
        <v>86</v>
      </c>
      <c r="M9" s="418" t="s">
        <v>87</v>
      </c>
      <c r="N9" s="418" t="s">
        <v>88</v>
      </c>
      <c r="O9" s="418" t="s">
        <v>89</v>
      </c>
      <c r="P9" s="418" t="s">
        <v>90</v>
      </c>
      <c r="Q9" s="418" t="s">
        <v>91</v>
      </c>
      <c r="R9" s="1122"/>
    </row>
    <row r="10" spans="2:21" x14ac:dyDescent="0.25">
      <c r="B10" s="74"/>
      <c r="C10" s="74"/>
      <c r="D10" s="418" t="s">
        <v>92</v>
      </c>
      <c r="E10" s="418" t="s">
        <v>93</v>
      </c>
      <c r="F10" s="418" t="s">
        <v>94</v>
      </c>
      <c r="G10" s="418" t="s">
        <v>95</v>
      </c>
      <c r="H10" s="418" t="s">
        <v>96</v>
      </c>
      <c r="I10" s="418" t="s">
        <v>97</v>
      </c>
      <c r="J10" s="418" t="s">
        <v>98</v>
      </c>
      <c r="K10" s="418" t="s">
        <v>99</v>
      </c>
      <c r="L10" s="418" t="s">
        <v>427</v>
      </c>
      <c r="M10" s="418" t="s">
        <v>103</v>
      </c>
      <c r="N10" s="418" t="s">
        <v>103</v>
      </c>
      <c r="O10" s="418" t="s">
        <v>103</v>
      </c>
      <c r="P10" s="418" t="s">
        <v>103</v>
      </c>
      <c r="Q10" s="418" t="s">
        <v>103</v>
      </c>
      <c r="R10" s="427"/>
      <c r="S10" s="27"/>
      <c r="T10" s="27"/>
      <c r="U10" s="27"/>
    </row>
    <row r="11" spans="2:21" x14ac:dyDescent="0.25">
      <c r="B11" s="46">
        <v>1</v>
      </c>
      <c r="C11" s="909" t="s">
        <v>428</v>
      </c>
      <c r="D11" s="540"/>
      <c r="E11" s="540"/>
      <c r="F11" s="540"/>
      <c r="G11" s="540"/>
      <c r="H11" s="537"/>
      <c r="I11" s="537"/>
      <c r="J11" s="537"/>
      <c r="K11" s="537"/>
      <c r="L11" s="537"/>
      <c r="M11" s="537"/>
      <c r="N11" s="537"/>
      <c r="O11" s="537"/>
      <c r="P11" s="537"/>
      <c r="Q11" s="537"/>
      <c r="R11" s="537"/>
      <c r="S11" s="27"/>
      <c r="T11" s="27"/>
      <c r="U11" s="27"/>
    </row>
    <row r="12" spans="2:21" x14ac:dyDescent="0.25">
      <c r="B12" s="46">
        <f>B11+1</f>
        <v>2</v>
      </c>
      <c r="C12" s="909" t="s">
        <v>429</v>
      </c>
      <c r="D12" s="540"/>
      <c r="E12" s="540"/>
      <c r="F12" s="540"/>
      <c r="G12" s="540"/>
      <c r="H12" s="537"/>
      <c r="I12" s="537"/>
      <c r="J12" s="537"/>
      <c r="K12" s="537"/>
      <c r="L12" s="537"/>
      <c r="M12" s="537"/>
      <c r="N12" s="537"/>
      <c r="O12" s="537"/>
      <c r="P12" s="537"/>
      <c r="Q12" s="537"/>
      <c r="R12" s="537"/>
      <c r="S12" s="27"/>
      <c r="T12" s="27"/>
      <c r="U12" s="27"/>
    </row>
    <row r="13" spans="2:21" x14ac:dyDescent="0.25">
      <c r="B13" s="46">
        <f t="shared" ref="B13:B18" si="0">B12+1</f>
        <v>3</v>
      </c>
      <c r="C13" s="909" t="s">
        <v>430</v>
      </c>
      <c r="D13" s="540">
        <v>107.65</v>
      </c>
      <c r="E13" s="540">
        <f>+D13</f>
        <v>107.65</v>
      </c>
      <c r="F13" s="540"/>
      <c r="G13" s="540">
        <f>+D17</f>
        <v>82.039999999999992</v>
      </c>
      <c r="H13" s="540">
        <f>+E17</f>
        <v>81.912606349069549</v>
      </c>
      <c r="I13" s="537"/>
      <c r="J13" s="540">
        <f>+G17</f>
        <v>53.23</v>
      </c>
      <c r="K13" s="540">
        <f>+H17</f>
        <v>52.90987482593809</v>
      </c>
      <c r="L13" s="537"/>
      <c r="M13" s="537">
        <f>+K17</f>
        <v>23.969862280480285</v>
      </c>
      <c r="N13" s="537">
        <f ca="1">+M17</f>
        <v>23.180279557320667</v>
      </c>
      <c r="O13" s="537">
        <f t="shared" ref="O13:Q13" ca="1" si="1">+N17</f>
        <v>15.304075029241048</v>
      </c>
      <c r="P13" s="537">
        <f t="shared" ca="1" si="1"/>
        <v>9.3116552260614291</v>
      </c>
      <c r="Q13" s="537">
        <f t="shared" ca="1" si="1"/>
        <v>8.6495502890000022</v>
      </c>
      <c r="R13" s="537"/>
      <c r="S13" s="27"/>
      <c r="T13" s="27"/>
      <c r="U13" s="27"/>
    </row>
    <row r="14" spans="2:21" ht="27.6" x14ac:dyDescent="0.25">
      <c r="B14" s="46">
        <f t="shared" si="0"/>
        <v>4</v>
      </c>
      <c r="C14" s="909" t="s">
        <v>431</v>
      </c>
      <c r="D14" s="540">
        <v>0</v>
      </c>
      <c r="E14" s="540">
        <f>+Decapitalisation!J6/10^7</f>
        <v>0</v>
      </c>
      <c r="F14" s="540"/>
      <c r="G14" s="540"/>
      <c r="H14" s="537">
        <f>Decapitalisation!J25/10^7</f>
        <v>2.3339751999999999E-3</v>
      </c>
      <c r="I14" s="537"/>
      <c r="J14" s="540"/>
      <c r="K14" s="537"/>
      <c r="L14" s="537"/>
      <c r="M14" s="537"/>
      <c r="N14" s="537"/>
      <c r="O14" s="537"/>
      <c r="P14" s="537"/>
      <c r="Q14" s="537"/>
      <c r="R14" s="537"/>
      <c r="S14" s="27"/>
      <c r="T14" s="27"/>
      <c r="U14" s="27"/>
    </row>
    <row r="15" spans="2:21" ht="27.6" x14ac:dyDescent="0.25">
      <c r="B15" s="46">
        <f t="shared" si="0"/>
        <v>5</v>
      </c>
      <c r="C15" s="909" t="s">
        <v>432</v>
      </c>
      <c r="D15" s="540">
        <v>3.57</v>
      </c>
      <c r="E15" s="540">
        <f>+'F4 '!E23*Assum!D5</f>
        <v>3.4818730820999999</v>
      </c>
      <c r="F15" s="540"/>
      <c r="G15" s="540">
        <v>0.42</v>
      </c>
      <c r="H15" s="540">
        <f>'F4 '!I23*Assum!E5</f>
        <v>0.31966498339999999</v>
      </c>
      <c r="I15" s="540"/>
      <c r="J15" s="540">
        <v>2.48</v>
      </c>
      <c r="K15" s="540">
        <f>+'F4 '!M23*Assum!F5</f>
        <v>0.42</v>
      </c>
      <c r="L15" s="540"/>
      <c r="M15" s="537">
        <f>+Interest!F31</f>
        <v>7.1312499999999996</v>
      </c>
      <c r="N15" s="537">
        <f>+Interest!G31</f>
        <v>0.27999999999999997</v>
      </c>
      <c r="O15" s="537">
        <f>+Interest!H31</f>
        <v>2.226</v>
      </c>
      <c r="P15" s="537">
        <f>+Interest!I31</f>
        <v>0.793632</v>
      </c>
      <c r="Q15" s="537">
        <f>+Interest!J31</f>
        <v>0</v>
      </c>
      <c r="R15" s="537"/>
      <c r="S15" s="27"/>
      <c r="T15" s="27"/>
      <c r="U15" s="27"/>
    </row>
    <row r="16" spans="2:21" x14ac:dyDescent="0.25">
      <c r="B16" s="46">
        <f t="shared" si="0"/>
        <v>6</v>
      </c>
      <c r="C16" s="909" t="s">
        <v>433</v>
      </c>
      <c r="D16" s="540">
        <f>+'F1 '!E12</f>
        <v>29.18</v>
      </c>
      <c r="E16" s="540">
        <f>+'F4 '!E57</f>
        <v>29.219266733030455</v>
      </c>
      <c r="F16" s="540"/>
      <c r="G16" s="540">
        <f>+'F1 '!H12</f>
        <v>29.25</v>
      </c>
      <c r="H16" s="537">
        <f>+'F4 '!I57</f>
        <v>29.320062531331455</v>
      </c>
      <c r="I16" s="537"/>
      <c r="J16" s="540">
        <f>+'F1 '!K12</f>
        <v>29.36</v>
      </c>
      <c r="K16" s="537">
        <f>+'F4 '!M57</f>
        <v>29.360012545457806</v>
      </c>
      <c r="L16" s="537"/>
      <c r="M16" s="537">
        <f ca="1">+Interest!F32</f>
        <v>7.9314909030796192</v>
      </c>
      <c r="N16" s="537">
        <f ca="1">+Interest!G32</f>
        <v>8.1562045280796198</v>
      </c>
      <c r="O16" s="537">
        <f ca="1">+Interest!H32</f>
        <v>8.2131913109496182</v>
      </c>
      <c r="P16" s="537">
        <f ca="1">+Interest!I32</f>
        <v>1.455736937061427</v>
      </c>
      <c r="Q16" s="537">
        <f ca="1">+Interest!J32</f>
        <v>0.63146792200000001</v>
      </c>
      <c r="R16" s="537"/>
      <c r="S16" s="27"/>
      <c r="T16" s="27"/>
      <c r="U16" s="27"/>
    </row>
    <row r="17" spans="2:21" x14ac:dyDescent="0.25">
      <c r="B17" s="46">
        <f t="shared" si="0"/>
        <v>7</v>
      </c>
      <c r="C17" s="909" t="s">
        <v>434</v>
      </c>
      <c r="D17" s="540">
        <f>+D13-D14+D15-D16</f>
        <v>82.039999999999992</v>
      </c>
      <c r="E17" s="540">
        <f t="shared" ref="E17:K17" si="2">+E13-E14+E15-E16</f>
        <v>81.912606349069549</v>
      </c>
      <c r="F17" s="540"/>
      <c r="G17" s="540">
        <f>+G13-G14+G15-G16+0.02</f>
        <v>53.23</v>
      </c>
      <c r="H17" s="540">
        <f t="shared" si="2"/>
        <v>52.90987482593809</v>
      </c>
      <c r="I17" s="540"/>
      <c r="J17" s="540">
        <f t="shared" si="2"/>
        <v>26.349999999999994</v>
      </c>
      <c r="K17" s="540">
        <f t="shared" si="2"/>
        <v>23.969862280480285</v>
      </c>
      <c r="L17" s="540"/>
      <c r="M17" s="540">
        <f ca="1">MAX(+M13-M14+M15-M16,0)</f>
        <v>23.169621377400667</v>
      </c>
      <c r="N17" s="540">
        <f ca="1">MAX(+N13-N14+N15-N16,0)</f>
        <v>15.304075029241048</v>
      </c>
      <c r="O17" s="540">
        <f ca="1">MAX(+O13-O14+O15-O16,0)</f>
        <v>9.3168837182914288</v>
      </c>
      <c r="P17" s="540">
        <f ca="1">MAX(+P13-P14+P15-P16,0)</f>
        <v>8.6495502890000022</v>
      </c>
      <c r="Q17" s="540">
        <f ca="1">MAX(+Q13-Q14+Q15-Q16,0)</f>
        <v>8.0180823670000017</v>
      </c>
      <c r="R17" s="537"/>
      <c r="S17" s="27"/>
      <c r="T17" s="27"/>
      <c r="U17" s="27"/>
    </row>
    <row r="18" spans="2:21" x14ac:dyDescent="0.25">
      <c r="B18" s="46">
        <f t="shared" si="0"/>
        <v>8</v>
      </c>
      <c r="C18" s="909" t="s">
        <v>435</v>
      </c>
      <c r="D18" s="540"/>
      <c r="E18" s="540"/>
      <c r="F18" s="540"/>
      <c r="G18" s="540"/>
      <c r="H18" s="537"/>
      <c r="I18" s="537"/>
      <c r="J18" s="540"/>
      <c r="K18" s="537"/>
      <c r="L18" s="537"/>
      <c r="M18" s="537"/>
      <c r="N18" s="537"/>
      <c r="O18" s="537"/>
      <c r="P18" s="537"/>
      <c r="Q18" s="537"/>
      <c r="R18" s="537"/>
      <c r="S18" s="27"/>
      <c r="T18" s="27"/>
      <c r="U18" s="27"/>
    </row>
    <row r="19" spans="2:21" x14ac:dyDescent="0.25">
      <c r="B19" s="46">
        <v>9</v>
      </c>
      <c r="C19" s="909" t="s">
        <v>436</v>
      </c>
      <c r="D19" s="540">
        <f>AVERAGE(D13,D17)</f>
        <v>94.844999999999999</v>
      </c>
      <c r="E19" s="540">
        <f t="shared" ref="E19:Q19" si="3">AVERAGE(E13,E17)</f>
        <v>94.78130317453477</v>
      </c>
      <c r="F19" s="540"/>
      <c r="G19" s="540">
        <f t="shared" si="3"/>
        <v>67.634999999999991</v>
      </c>
      <c r="H19" s="540">
        <f t="shared" si="3"/>
        <v>67.411240587503812</v>
      </c>
      <c r="I19" s="540"/>
      <c r="J19" s="540">
        <f t="shared" ref="J19" si="4">AVERAGE(J13,J17)</f>
        <v>39.789999999999992</v>
      </c>
      <c r="K19" s="540">
        <f t="shared" si="3"/>
        <v>38.439868553209187</v>
      </c>
      <c r="L19" s="540"/>
      <c r="M19" s="540">
        <f t="shared" ca="1" si="3"/>
        <v>23.569741828940476</v>
      </c>
      <c r="N19" s="540">
        <f t="shared" ca="1" si="3"/>
        <v>19.242177293280857</v>
      </c>
      <c r="O19" s="540">
        <f t="shared" ca="1" si="3"/>
        <v>12.310479373766238</v>
      </c>
      <c r="P19" s="540">
        <f t="shared" ca="1" si="3"/>
        <v>8.9806027575307148</v>
      </c>
      <c r="Q19" s="540">
        <f t="shared" ca="1" si="3"/>
        <v>8.3338163280000011</v>
      </c>
      <c r="R19" s="540"/>
      <c r="S19" s="27"/>
      <c r="T19" s="27"/>
      <c r="U19" s="27"/>
    </row>
    <row r="20" spans="2:21" x14ac:dyDescent="0.25">
      <c r="B20" s="46">
        <v>10</v>
      </c>
      <c r="C20" s="909" t="s">
        <v>437</v>
      </c>
      <c r="D20" s="577">
        <v>8.2299999999999998E-2</v>
      </c>
      <c r="E20" s="577">
        <f>+Assum!D7</f>
        <v>8.2299999999999998E-2</v>
      </c>
      <c r="F20" s="577"/>
      <c r="G20" s="577">
        <f>+D20</f>
        <v>8.2299999999999998E-2</v>
      </c>
      <c r="H20" s="577">
        <f>+Assum!E7</f>
        <v>8.2299999999999998E-2</v>
      </c>
      <c r="I20" s="577"/>
      <c r="J20" s="577">
        <f>+G20</f>
        <v>8.2299999999999998E-2</v>
      </c>
      <c r="K20" s="577">
        <f>+Assum!F7</f>
        <v>8.2299999999999998E-2</v>
      </c>
      <c r="L20" s="577"/>
      <c r="M20" s="577">
        <f>+Assum!G7</f>
        <v>8.2299999999999998E-2</v>
      </c>
      <c r="N20" s="577">
        <f>+Assum!H7</f>
        <v>8.2299999999999998E-2</v>
      </c>
      <c r="O20" s="577">
        <f>+Assum!I7</f>
        <v>8.2299999999999998E-2</v>
      </c>
      <c r="P20" s="577">
        <f>+Assum!J7</f>
        <v>8.2299999999999998E-2</v>
      </c>
      <c r="Q20" s="577">
        <f>+Assum!K7</f>
        <v>8.2299999999999998E-2</v>
      </c>
      <c r="R20" s="537"/>
      <c r="S20" s="27"/>
      <c r="T20" s="27"/>
      <c r="U20" s="27"/>
    </row>
    <row r="21" spans="2:21" x14ac:dyDescent="0.25">
      <c r="B21" s="46">
        <v>11</v>
      </c>
      <c r="C21" s="909" t="s">
        <v>438</v>
      </c>
      <c r="D21" s="540">
        <f>+D19*D20-0.01</f>
        <v>7.7957435000000004</v>
      </c>
      <c r="E21" s="540">
        <f t="shared" ref="E21:K21" si="5">+E19*E20</f>
        <v>7.8005012512642118</v>
      </c>
      <c r="F21" s="540"/>
      <c r="G21" s="540">
        <f>+G19*G20-0.01</f>
        <v>5.5563604999999994</v>
      </c>
      <c r="H21" s="540">
        <f t="shared" si="5"/>
        <v>5.5479451003515639</v>
      </c>
      <c r="I21" s="540"/>
      <c r="J21" s="540">
        <f>+J19*J20</f>
        <v>3.2747169999999994</v>
      </c>
      <c r="K21" s="540">
        <f t="shared" si="5"/>
        <v>3.1636011819291161</v>
      </c>
      <c r="L21" s="540"/>
      <c r="M21" s="540">
        <f ca="1">+Interest!F36</f>
        <v>1.9397897525218011</v>
      </c>
      <c r="N21" s="540">
        <f ca="1">+Interest!G36</f>
        <v>1.5836311912370142</v>
      </c>
      <c r="O21" s="540">
        <f ca="1">+Interest!H36</f>
        <v>1.0131524524609612</v>
      </c>
      <c r="P21" s="540">
        <f ca="1">+Interest!I36</f>
        <v>0.73910360694477772</v>
      </c>
      <c r="Q21" s="540">
        <f ca="1">+Interest!J36</f>
        <v>0.68587308379439982</v>
      </c>
      <c r="R21" s="537"/>
      <c r="S21" s="27"/>
      <c r="T21" s="27"/>
      <c r="U21" s="27"/>
    </row>
    <row r="22" spans="2:21" x14ac:dyDescent="0.25">
      <c r="B22" s="46">
        <v>12</v>
      </c>
      <c r="C22" s="909" t="s">
        <v>439</v>
      </c>
      <c r="D22" s="540"/>
      <c r="E22" s="540">
        <f>+Recon!C23</f>
        <v>2.8487219999999997E-3</v>
      </c>
      <c r="F22" s="540"/>
      <c r="G22" s="540"/>
      <c r="H22" s="537">
        <f>+Recon!F23</f>
        <v>1.6355060000000021E-3</v>
      </c>
      <c r="I22" s="537"/>
      <c r="J22" s="540"/>
      <c r="K22" s="537"/>
      <c r="L22" s="537"/>
      <c r="M22" s="537"/>
      <c r="N22" s="537"/>
      <c r="O22" s="537"/>
      <c r="P22" s="537"/>
      <c r="Q22" s="537"/>
      <c r="R22" s="537"/>
      <c r="S22" s="27"/>
      <c r="T22" s="27"/>
      <c r="U22" s="27"/>
    </row>
    <row r="23" spans="2:21" s="21" customFormat="1" x14ac:dyDescent="0.25">
      <c r="B23" s="97">
        <v>13</v>
      </c>
      <c r="C23" s="910" t="s">
        <v>440</v>
      </c>
      <c r="D23" s="541">
        <f>+D21+D22</f>
        <v>7.7957435000000004</v>
      </c>
      <c r="E23" s="541">
        <f t="shared" ref="E23:Q23" si="6">+E21+E22</f>
        <v>7.8033499732642122</v>
      </c>
      <c r="F23" s="541"/>
      <c r="G23" s="541">
        <f t="shared" si="6"/>
        <v>5.5563604999999994</v>
      </c>
      <c r="H23" s="541">
        <f t="shared" si="6"/>
        <v>5.5495806063515642</v>
      </c>
      <c r="I23" s="541"/>
      <c r="J23" s="541">
        <f t="shared" si="6"/>
        <v>3.2747169999999994</v>
      </c>
      <c r="K23" s="541">
        <f t="shared" si="6"/>
        <v>3.1636011819291161</v>
      </c>
      <c r="L23" s="541"/>
      <c r="M23" s="541">
        <f t="shared" ca="1" si="6"/>
        <v>1.9397897525218011</v>
      </c>
      <c r="N23" s="541">
        <f t="shared" ca="1" si="6"/>
        <v>1.5836311912370142</v>
      </c>
      <c r="O23" s="541">
        <f t="shared" ca="1" si="6"/>
        <v>1.0131524524609612</v>
      </c>
      <c r="P23" s="541">
        <f t="shared" ca="1" si="6"/>
        <v>0.73910360694477772</v>
      </c>
      <c r="Q23" s="541">
        <f t="shared" ca="1" si="6"/>
        <v>0.68587308379439982</v>
      </c>
      <c r="R23" s="542"/>
    </row>
    <row r="24" spans="2:21" s="21" customFormat="1" x14ac:dyDescent="0.25">
      <c r="B24" s="119"/>
      <c r="C24" s="907"/>
      <c r="D24" s="23"/>
      <c r="E24" s="23"/>
      <c r="F24" s="23"/>
      <c r="G24" s="51"/>
      <c r="H24" s="25"/>
      <c r="I24" s="25"/>
      <c r="J24" s="25"/>
      <c r="K24" s="25"/>
      <c r="L24" s="25"/>
      <c r="M24" s="25"/>
      <c r="N24" s="25"/>
      <c r="O24" s="25"/>
      <c r="P24" s="25"/>
      <c r="Q24" s="25"/>
      <c r="R24" s="25"/>
    </row>
    <row r="25" spans="2:21" s="21" customFormat="1" x14ac:dyDescent="0.25">
      <c r="B25" s="119"/>
      <c r="C25" s="907"/>
      <c r="D25" s="23"/>
      <c r="E25" s="23"/>
      <c r="F25" s="23"/>
      <c r="G25" s="51"/>
      <c r="H25" s="25"/>
      <c r="I25" s="25"/>
      <c r="J25" s="25"/>
      <c r="K25" s="25"/>
      <c r="L25" s="25"/>
      <c r="M25" s="25"/>
      <c r="N25" s="25"/>
      <c r="O25" s="25"/>
      <c r="P25" s="25"/>
      <c r="Q25" s="25"/>
      <c r="R25" s="25"/>
    </row>
    <row r="26" spans="2:21" s="21" customFormat="1" x14ac:dyDescent="0.25">
      <c r="B26" s="121"/>
      <c r="C26" s="908" t="s">
        <v>441</v>
      </c>
      <c r="D26" s="408"/>
      <c r="E26" s="408"/>
      <c r="F26" s="408"/>
      <c r="G26" s="408"/>
      <c r="H26" s="19"/>
      <c r="I26" s="19"/>
      <c r="J26" s="19"/>
      <c r="K26" s="19"/>
      <c r="L26" s="19"/>
      <c r="M26" s="19"/>
      <c r="N26" s="19"/>
      <c r="O26" s="19"/>
      <c r="P26" s="19"/>
      <c r="Q26" s="19"/>
      <c r="R26" s="19"/>
    </row>
    <row r="27" spans="2:21" x14ac:dyDescent="0.25">
      <c r="B27" s="121"/>
      <c r="R27" s="24" t="s">
        <v>73</v>
      </c>
    </row>
    <row r="28" spans="2:21" ht="15" customHeight="1" x14ac:dyDescent="0.25">
      <c r="B28" s="941" t="s">
        <v>424</v>
      </c>
      <c r="C28" s="941" t="s">
        <v>425</v>
      </c>
      <c r="D28" s="945" t="s">
        <v>75</v>
      </c>
      <c r="E28" s="946"/>
      <c r="F28" s="947"/>
      <c r="G28" s="945" t="s">
        <v>76</v>
      </c>
      <c r="H28" s="946"/>
      <c r="I28" s="947"/>
      <c r="J28" s="945" t="s">
        <v>77</v>
      </c>
      <c r="K28" s="946"/>
      <c r="L28" s="947"/>
      <c r="M28" s="945" t="s">
        <v>426</v>
      </c>
      <c r="N28" s="946"/>
      <c r="O28" s="946"/>
      <c r="P28" s="946"/>
      <c r="Q28" s="947"/>
      <c r="R28" s="1034" t="s">
        <v>79</v>
      </c>
    </row>
    <row r="29" spans="2:21" ht="27.6" x14ac:dyDescent="0.25">
      <c r="B29" s="941"/>
      <c r="C29" s="941"/>
      <c r="D29" s="418" t="s">
        <v>80</v>
      </c>
      <c r="E29" s="418" t="s">
        <v>81</v>
      </c>
      <c r="F29" s="418" t="s">
        <v>82</v>
      </c>
      <c r="G29" s="418" t="s">
        <v>80</v>
      </c>
      <c r="H29" s="418" t="s">
        <v>81</v>
      </c>
      <c r="I29" s="418" t="s">
        <v>82</v>
      </c>
      <c r="J29" s="418" t="s">
        <v>80</v>
      </c>
      <c r="K29" s="418" t="s">
        <v>135</v>
      </c>
      <c r="L29" s="418" t="s">
        <v>86</v>
      </c>
      <c r="M29" s="418" t="s">
        <v>87</v>
      </c>
      <c r="N29" s="418" t="s">
        <v>88</v>
      </c>
      <c r="O29" s="418" t="s">
        <v>89</v>
      </c>
      <c r="P29" s="418" t="s">
        <v>90</v>
      </c>
      <c r="Q29" s="418" t="s">
        <v>91</v>
      </c>
      <c r="R29" s="1122"/>
    </row>
    <row r="30" spans="2:21" x14ac:dyDescent="0.25">
      <c r="B30" s="74"/>
      <c r="C30" s="74"/>
      <c r="D30" s="418" t="s">
        <v>92</v>
      </c>
      <c r="E30" s="418" t="s">
        <v>93</v>
      </c>
      <c r="F30" s="418" t="s">
        <v>94</v>
      </c>
      <c r="G30" s="418" t="s">
        <v>95</v>
      </c>
      <c r="H30" s="418" t="s">
        <v>96</v>
      </c>
      <c r="I30" s="418" t="s">
        <v>97</v>
      </c>
      <c r="J30" s="418" t="s">
        <v>98</v>
      </c>
      <c r="K30" s="418" t="s">
        <v>99</v>
      </c>
      <c r="L30" s="418" t="s">
        <v>427</v>
      </c>
      <c r="M30" s="418" t="s">
        <v>103</v>
      </c>
      <c r="N30" s="418" t="s">
        <v>103</v>
      </c>
      <c r="O30" s="418" t="s">
        <v>103</v>
      </c>
      <c r="P30" s="418" t="s">
        <v>103</v>
      </c>
      <c r="Q30" s="418" t="s">
        <v>103</v>
      </c>
      <c r="R30" s="427"/>
    </row>
    <row r="31" spans="2:21" x14ac:dyDescent="0.25">
      <c r="B31" s="97">
        <v>1</v>
      </c>
      <c r="C31" s="910" t="s">
        <v>832</v>
      </c>
      <c r="D31" s="29"/>
      <c r="E31" s="29"/>
      <c r="F31" s="29"/>
      <c r="G31" s="29"/>
      <c r="H31" s="26"/>
      <c r="I31" s="26"/>
      <c r="J31" s="26"/>
      <c r="K31" s="26"/>
      <c r="L31" s="26"/>
      <c r="M31" s="26"/>
      <c r="N31" s="26"/>
      <c r="O31" s="26"/>
      <c r="P31" s="26"/>
      <c r="Q31" s="26"/>
      <c r="R31" s="26"/>
    </row>
    <row r="32" spans="2:21" x14ac:dyDescent="0.25">
      <c r="B32" s="46">
        <v>1.1000000000000001</v>
      </c>
      <c r="C32" s="909" t="s">
        <v>443</v>
      </c>
      <c r="D32" s="28"/>
      <c r="E32" s="584">
        <v>136.78049999999999</v>
      </c>
      <c r="F32" s="28"/>
      <c r="G32" s="28"/>
      <c r="H32" s="26"/>
      <c r="I32" s="26"/>
      <c r="J32" s="26"/>
      <c r="K32" s="26"/>
      <c r="L32" s="26"/>
      <c r="M32" s="26"/>
      <c r="N32" s="26"/>
      <c r="O32" s="26"/>
      <c r="P32" s="26"/>
      <c r="Q32" s="26"/>
      <c r="R32" s="26"/>
    </row>
    <row r="33" spans="2:18" ht="27.6" x14ac:dyDescent="0.25">
      <c r="B33" s="46">
        <f t="shared" ref="B33:B36" si="7">B32+0.1</f>
        <v>1.2000000000000002</v>
      </c>
      <c r="C33" s="909" t="s">
        <v>431</v>
      </c>
      <c r="D33" s="28"/>
      <c r="E33" s="28"/>
      <c r="F33" s="28"/>
      <c r="G33" s="28"/>
      <c r="H33" s="26"/>
      <c r="I33" s="26"/>
      <c r="J33" s="26"/>
      <c r="K33" s="26"/>
      <c r="L33" s="26"/>
      <c r="M33" s="26"/>
      <c r="N33" s="26"/>
      <c r="O33" s="26"/>
      <c r="P33" s="26"/>
      <c r="Q33" s="26"/>
      <c r="R33" s="26"/>
    </row>
    <row r="34" spans="2:18" x14ac:dyDescent="0.25">
      <c r="B34" s="46">
        <f t="shared" si="7"/>
        <v>1.3000000000000003</v>
      </c>
      <c r="C34" s="909" t="s">
        <v>444</v>
      </c>
      <c r="D34" s="28"/>
      <c r="E34" s="28"/>
      <c r="F34" s="28"/>
      <c r="G34" s="28"/>
      <c r="H34" s="26"/>
      <c r="I34" s="26"/>
      <c r="J34" s="26"/>
      <c r="K34" s="26"/>
      <c r="L34" s="26"/>
      <c r="M34" s="26"/>
      <c r="N34" s="26"/>
      <c r="O34" s="26"/>
      <c r="P34" s="26"/>
      <c r="Q34" s="26"/>
      <c r="R34" s="26"/>
    </row>
    <row r="35" spans="2:18" x14ac:dyDescent="0.25">
      <c r="B35" s="46">
        <f t="shared" si="7"/>
        <v>1.4000000000000004</v>
      </c>
      <c r="C35" s="909" t="s">
        <v>445</v>
      </c>
      <c r="D35" s="28"/>
      <c r="E35" s="28"/>
      <c r="F35" s="28"/>
      <c r="G35" s="28"/>
      <c r="H35" s="26"/>
      <c r="I35" s="26"/>
      <c r="J35" s="26"/>
      <c r="K35" s="26"/>
      <c r="L35" s="26"/>
      <c r="M35" s="26"/>
      <c r="N35" s="26"/>
      <c r="O35" s="26"/>
      <c r="P35" s="26"/>
      <c r="Q35" s="26"/>
      <c r="R35" s="26"/>
    </row>
    <row r="36" spans="2:18" x14ac:dyDescent="0.25">
      <c r="B36" s="46">
        <f t="shared" si="7"/>
        <v>1.5000000000000004</v>
      </c>
      <c r="C36" s="909" t="s">
        <v>446</v>
      </c>
      <c r="D36" s="28"/>
      <c r="E36" s="28"/>
      <c r="F36" s="28"/>
      <c r="G36" s="28"/>
      <c r="H36" s="26"/>
      <c r="I36" s="26"/>
      <c r="J36" s="26"/>
      <c r="K36" s="26"/>
      <c r="L36" s="26"/>
      <c r="M36" s="26"/>
      <c r="N36" s="26"/>
      <c r="O36" s="26"/>
      <c r="P36" s="26"/>
      <c r="Q36" s="26"/>
      <c r="R36" s="26"/>
    </row>
    <row r="37" spans="2:18" x14ac:dyDescent="0.25">
      <c r="B37" s="46">
        <f>B36+0.1</f>
        <v>1.6000000000000005</v>
      </c>
      <c r="C37" s="909" t="s">
        <v>447</v>
      </c>
      <c r="D37" s="28"/>
      <c r="E37" s="28"/>
      <c r="F37" s="28"/>
      <c r="G37" s="28"/>
      <c r="H37" s="26"/>
      <c r="I37" s="26"/>
      <c r="J37" s="26"/>
      <c r="K37" s="26"/>
      <c r="L37" s="26"/>
      <c r="M37" s="26"/>
      <c r="N37" s="26"/>
      <c r="O37" s="26"/>
      <c r="P37" s="26"/>
      <c r="Q37" s="26"/>
      <c r="R37" s="26"/>
    </row>
    <row r="38" spans="2:18" x14ac:dyDescent="0.25">
      <c r="B38" s="46">
        <f>B37+0.1</f>
        <v>1.7000000000000006</v>
      </c>
      <c r="C38" s="909" t="s">
        <v>448</v>
      </c>
      <c r="D38" s="28"/>
      <c r="E38" s="28"/>
      <c r="F38" s="28"/>
      <c r="G38" s="28"/>
      <c r="H38" s="26"/>
      <c r="I38" s="26"/>
      <c r="J38" s="26"/>
      <c r="K38" s="26"/>
      <c r="L38" s="26"/>
      <c r="M38" s="26"/>
      <c r="N38" s="26"/>
      <c r="O38" s="26"/>
      <c r="P38" s="26"/>
      <c r="Q38" s="26"/>
      <c r="R38" s="26"/>
    </row>
    <row r="39" spans="2:18" x14ac:dyDescent="0.25">
      <c r="B39" s="46">
        <f>B38+0.1</f>
        <v>1.8000000000000007</v>
      </c>
      <c r="C39" s="909" t="s">
        <v>438</v>
      </c>
      <c r="D39" s="28"/>
      <c r="E39" s="28"/>
      <c r="F39" s="28"/>
      <c r="G39" s="28"/>
      <c r="H39" s="26"/>
      <c r="I39" s="26"/>
      <c r="J39" s="26"/>
      <c r="K39" s="26"/>
      <c r="L39" s="26"/>
      <c r="M39" s="26"/>
      <c r="N39" s="26"/>
      <c r="O39" s="26"/>
      <c r="P39" s="26"/>
      <c r="Q39" s="26"/>
      <c r="R39" s="26"/>
    </row>
    <row r="40" spans="2:18" x14ac:dyDescent="0.25">
      <c r="B40" s="46"/>
      <c r="C40" s="909"/>
      <c r="D40" s="28"/>
      <c r="E40" s="28"/>
      <c r="F40" s="28"/>
      <c r="G40" s="28"/>
      <c r="H40" s="26"/>
      <c r="I40" s="26"/>
      <c r="J40" s="26"/>
      <c r="K40" s="26"/>
      <c r="L40" s="26"/>
      <c r="M40" s="26"/>
      <c r="N40" s="26"/>
      <c r="O40" s="26"/>
      <c r="P40" s="26"/>
      <c r="Q40" s="26"/>
      <c r="R40" s="26"/>
    </row>
    <row r="41" spans="2:18" x14ac:dyDescent="0.25">
      <c r="B41" s="97">
        <v>2</v>
      </c>
      <c r="C41" s="910" t="s">
        <v>449</v>
      </c>
      <c r="D41" s="29"/>
      <c r="E41" s="29"/>
      <c r="F41" s="29"/>
      <c r="G41" s="29"/>
      <c r="H41" s="26"/>
      <c r="I41" s="26"/>
      <c r="J41" s="26"/>
      <c r="K41" s="26"/>
      <c r="L41" s="26"/>
      <c r="M41" s="26"/>
      <c r="N41" s="26"/>
      <c r="O41" s="26"/>
      <c r="P41" s="26"/>
      <c r="Q41" s="26"/>
      <c r="R41" s="26"/>
    </row>
    <row r="42" spans="2:18" x14ac:dyDescent="0.25">
      <c r="B42" s="46">
        <f t="shared" ref="B42:B45" si="8">B41+0.1</f>
        <v>2.1</v>
      </c>
      <c r="C42" s="909" t="s">
        <v>443</v>
      </c>
      <c r="D42" s="28"/>
      <c r="E42" s="28"/>
      <c r="F42" s="28"/>
      <c r="G42" s="28"/>
      <c r="H42" s="26"/>
      <c r="I42" s="26"/>
      <c r="J42" s="26"/>
      <c r="K42" s="26"/>
      <c r="L42" s="26"/>
      <c r="M42" s="26"/>
      <c r="N42" s="26"/>
      <c r="O42" s="26"/>
      <c r="P42" s="26"/>
      <c r="Q42" s="26"/>
      <c r="R42" s="26"/>
    </row>
    <row r="43" spans="2:18" ht="27.6" x14ac:dyDescent="0.25">
      <c r="B43" s="46">
        <f t="shared" si="8"/>
        <v>2.2000000000000002</v>
      </c>
      <c r="C43" s="909" t="s">
        <v>431</v>
      </c>
      <c r="D43" s="28"/>
      <c r="E43" s="28"/>
      <c r="F43" s="28"/>
      <c r="G43" s="28"/>
      <c r="H43" s="26"/>
      <c r="I43" s="26"/>
      <c r="J43" s="26"/>
      <c r="K43" s="26"/>
      <c r="L43" s="26"/>
      <c r="M43" s="26"/>
      <c r="N43" s="26"/>
      <c r="O43" s="26"/>
      <c r="P43" s="26"/>
      <c r="Q43" s="26"/>
      <c r="R43" s="26"/>
    </row>
    <row r="44" spans="2:18" x14ac:dyDescent="0.25">
      <c r="B44" s="46">
        <f t="shared" si="8"/>
        <v>2.3000000000000003</v>
      </c>
      <c r="C44" s="909" t="s">
        <v>445</v>
      </c>
      <c r="D44" s="28"/>
      <c r="E44" s="28"/>
      <c r="F44" s="28"/>
      <c r="G44" s="28"/>
      <c r="H44" s="26"/>
      <c r="I44" s="26"/>
      <c r="J44" s="26"/>
      <c r="K44" s="26"/>
      <c r="L44" s="26"/>
      <c r="M44" s="26"/>
      <c r="N44" s="26"/>
      <c r="O44" s="26"/>
      <c r="P44" s="26"/>
      <c r="Q44" s="26"/>
      <c r="R44" s="26"/>
    </row>
    <row r="45" spans="2:18" x14ac:dyDescent="0.25">
      <c r="B45" s="46">
        <f t="shared" si="8"/>
        <v>2.4000000000000004</v>
      </c>
      <c r="C45" s="909" t="s">
        <v>446</v>
      </c>
      <c r="D45" s="28"/>
      <c r="E45" s="28"/>
      <c r="F45" s="28"/>
      <c r="G45" s="28"/>
      <c r="H45" s="26"/>
      <c r="I45" s="26"/>
      <c r="J45" s="26"/>
      <c r="K45" s="26"/>
      <c r="L45" s="26"/>
      <c r="M45" s="26"/>
      <c r="N45" s="26"/>
      <c r="O45" s="26"/>
      <c r="P45" s="26"/>
      <c r="Q45" s="26"/>
      <c r="R45" s="26"/>
    </row>
    <row r="46" spans="2:18" x14ac:dyDescent="0.25">
      <c r="B46" s="46">
        <f>B45+0.1</f>
        <v>2.5000000000000004</v>
      </c>
      <c r="C46" s="909" t="s">
        <v>447</v>
      </c>
      <c r="D46" s="28"/>
      <c r="E46" s="28"/>
      <c r="F46" s="28"/>
      <c r="G46" s="28"/>
      <c r="H46" s="26"/>
      <c r="I46" s="26"/>
      <c r="J46" s="26"/>
      <c r="K46" s="26"/>
      <c r="L46" s="26"/>
      <c r="M46" s="26"/>
      <c r="N46" s="26"/>
      <c r="O46" s="26"/>
      <c r="P46" s="26"/>
      <c r="Q46" s="26"/>
      <c r="R46" s="26"/>
    </row>
    <row r="47" spans="2:18" x14ac:dyDescent="0.25">
      <c r="B47" s="46">
        <f>B46+0.1</f>
        <v>2.6000000000000005</v>
      </c>
      <c r="C47" s="909" t="s">
        <v>448</v>
      </c>
      <c r="D47" s="28"/>
      <c r="E47" s="28"/>
      <c r="F47" s="28"/>
      <c r="G47" s="28"/>
      <c r="H47" s="26"/>
      <c r="I47" s="26"/>
      <c r="J47" s="26"/>
      <c r="K47" s="26"/>
      <c r="L47" s="26"/>
      <c r="M47" s="26"/>
      <c r="N47" s="26"/>
      <c r="O47" s="26"/>
      <c r="P47" s="26"/>
      <c r="Q47" s="26"/>
      <c r="R47" s="26"/>
    </row>
    <row r="48" spans="2:18" x14ac:dyDescent="0.25">
      <c r="B48" s="46">
        <f>B47+0.1</f>
        <v>2.7000000000000006</v>
      </c>
      <c r="C48" s="909" t="s">
        <v>438</v>
      </c>
      <c r="D48" s="28"/>
      <c r="E48" s="28"/>
      <c r="F48" s="28"/>
      <c r="G48" s="28"/>
      <c r="H48" s="26"/>
      <c r="I48" s="26"/>
      <c r="J48" s="26"/>
      <c r="K48" s="26"/>
      <c r="L48" s="26"/>
      <c r="M48" s="26"/>
      <c r="N48" s="26"/>
      <c r="O48" s="26"/>
      <c r="P48" s="26"/>
      <c r="Q48" s="26"/>
      <c r="R48" s="26"/>
    </row>
    <row r="49" spans="2:18" x14ac:dyDescent="0.25">
      <c r="B49" s="46"/>
      <c r="C49" s="909"/>
      <c r="D49" s="28"/>
      <c r="E49" s="28"/>
      <c r="F49" s="28"/>
      <c r="G49" s="28"/>
      <c r="H49" s="26"/>
      <c r="I49" s="26"/>
      <c r="J49" s="26"/>
      <c r="K49" s="26"/>
      <c r="L49" s="26"/>
      <c r="M49" s="26"/>
      <c r="N49" s="26"/>
      <c r="O49" s="26"/>
      <c r="P49" s="26"/>
      <c r="Q49" s="26"/>
      <c r="R49" s="26"/>
    </row>
    <row r="50" spans="2:18" x14ac:dyDescent="0.25">
      <c r="B50" s="97">
        <v>3</v>
      </c>
      <c r="C50" s="910" t="s">
        <v>450</v>
      </c>
      <c r="D50" s="29"/>
      <c r="E50" s="29"/>
      <c r="F50" s="29"/>
      <c r="G50" s="29"/>
      <c r="H50" s="26"/>
      <c r="I50" s="26"/>
      <c r="J50" s="26"/>
      <c r="K50" s="26"/>
      <c r="L50" s="26"/>
      <c r="M50" s="26"/>
      <c r="N50" s="26"/>
      <c r="O50" s="26"/>
      <c r="P50" s="26"/>
      <c r="Q50" s="26"/>
      <c r="R50" s="26"/>
    </row>
    <row r="51" spans="2:18" x14ac:dyDescent="0.25">
      <c r="B51" s="46"/>
      <c r="C51" s="909" t="s">
        <v>304</v>
      </c>
      <c r="D51" s="28"/>
      <c r="E51" s="28"/>
      <c r="F51" s="28"/>
      <c r="G51" s="28"/>
      <c r="H51" s="26"/>
      <c r="I51" s="26"/>
      <c r="J51" s="26"/>
      <c r="K51" s="26"/>
      <c r="L51" s="26"/>
      <c r="M51" s="26"/>
      <c r="N51" s="26"/>
      <c r="O51" s="26"/>
      <c r="P51" s="26"/>
      <c r="Q51" s="26"/>
      <c r="R51" s="26"/>
    </row>
    <row r="52" spans="2:18" x14ac:dyDescent="0.25">
      <c r="B52" s="46"/>
      <c r="C52" s="909" t="s">
        <v>304</v>
      </c>
      <c r="D52" s="28"/>
      <c r="E52" s="28"/>
      <c r="F52" s="28"/>
      <c r="G52" s="28"/>
      <c r="H52" s="26"/>
      <c r="I52" s="26"/>
      <c r="J52" s="26"/>
      <c r="K52" s="26"/>
      <c r="L52" s="26"/>
      <c r="M52" s="26"/>
      <c r="N52" s="26"/>
      <c r="O52" s="26"/>
      <c r="P52" s="26"/>
      <c r="Q52" s="26"/>
      <c r="R52" s="26"/>
    </row>
    <row r="53" spans="2:18" x14ac:dyDescent="0.25">
      <c r="B53" s="46"/>
      <c r="C53" s="909" t="s">
        <v>304</v>
      </c>
      <c r="D53" s="28"/>
      <c r="E53" s="28"/>
      <c r="F53" s="28"/>
      <c r="G53" s="28"/>
      <c r="H53" s="26"/>
      <c r="I53" s="26"/>
      <c r="J53" s="26"/>
      <c r="K53" s="26"/>
      <c r="L53" s="26"/>
      <c r="M53" s="26"/>
      <c r="N53" s="26"/>
      <c r="O53" s="26"/>
      <c r="P53" s="26"/>
      <c r="Q53" s="26"/>
      <c r="R53" s="26"/>
    </row>
    <row r="54" spans="2:18" x14ac:dyDescent="0.25">
      <c r="B54" s="46"/>
      <c r="C54" s="909"/>
      <c r="D54" s="28"/>
      <c r="E54" s="28"/>
      <c r="F54" s="28"/>
      <c r="G54" s="28"/>
      <c r="H54" s="26"/>
      <c r="I54" s="26"/>
      <c r="J54" s="26"/>
      <c r="K54" s="26"/>
      <c r="L54" s="26"/>
      <c r="M54" s="26"/>
      <c r="N54" s="26"/>
      <c r="O54" s="26"/>
      <c r="P54" s="26"/>
      <c r="Q54" s="26"/>
      <c r="R54" s="26"/>
    </row>
    <row r="55" spans="2:18" x14ac:dyDescent="0.25">
      <c r="B55" s="97">
        <v>10</v>
      </c>
      <c r="C55" s="910" t="s">
        <v>180</v>
      </c>
      <c r="D55" s="29"/>
      <c r="E55" s="29"/>
      <c r="F55" s="29"/>
      <c r="G55" s="28"/>
      <c r="H55" s="26"/>
      <c r="I55" s="26"/>
      <c r="J55" s="26"/>
      <c r="K55" s="26"/>
      <c r="L55" s="26"/>
      <c r="M55" s="26"/>
      <c r="N55" s="26"/>
      <c r="O55" s="26"/>
      <c r="P55" s="26"/>
      <c r="Q55" s="26"/>
      <c r="R55" s="26"/>
    </row>
    <row r="56" spans="2:18" x14ac:dyDescent="0.25">
      <c r="B56" s="46">
        <f t="shared" ref="B56:B59" si="9">B55+0.1</f>
        <v>10.1</v>
      </c>
      <c r="C56" s="909" t="s">
        <v>443</v>
      </c>
      <c r="D56" s="28"/>
      <c r="E56" s="28"/>
      <c r="F56" s="28"/>
      <c r="G56" s="28"/>
      <c r="H56" s="26"/>
      <c r="I56" s="26"/>
      <c r="J56" s="26"/>
      <c r="K56" s="26"/>
      <c r="L56" s="26"/>
      <c r="M56" s="26"/>
      <c r="N56" s="26"/>
      <c r="O56" s="26"/>
      <c r="P56" s="26"/>
      <c r="Q56" s="26"/>
      <c r="R56" s="26"/>
    </row>
    <row r="57" spans="2:18" ht="27.6" x14ac:dyDescent="0.25">
      <c r="B57" s="46">
        <f t="shared" si="9"/>
        <v>10.199999999999999</v>
      </c>
      <c r="C57" s="909" t="s">
        <v>431</v>
      </c>
      <c r="D57" s="28"/>
      <c r="E57" s="28"/>
      <c r="F57" s="28"/>
      <c r="G57" s="28"/>
      <c r="H57" s="26"/>
      <c r="I57" s="26"/>
      <c r="J57" s="26"/>
      <c r="K57" s="26"/>
      <c r="L57" s="26"/>
      <c r="M57" s="26"/>
      <c r="N57" s="26"/>
      <c r="O57" s="26"/>
      <c r="P57" s="26"/>
      <c r="Q57" s="26"/>
      <c r="R57" s="26"/>
    </row>
    <row r="58" spans="2:18" x14ac:dyDescent="0.25">
      <c r="B58" s="46">
        <f t="shared" si="9"/>
        <v>10.299999999999999</v>
      </c>
      <c r="C58" s="909" t="s">
        <v>445</v>
      </c>
      <c r="D58" s="28"/>
      <c r="E58" s="28"/>
      <c r="F58" s="28"/>
      <c r="G58" s="28"/>
      <c r="H58" s="26"/>
      <c r="I58" s="26"/>
      <c r="J58" s="26"/>
      <c r="K58" s="26"/>
      <c r="L58" s="26"/>
      <c r="M58" s="26"/>
      <c r="N58" s="26"/>
      <c r="O58" s="26"/>
      <c r="P58" s="26"/>
      <c r="Q58" s="26"/>
      <c r="R58" s="26"/>
    </row>
    <row r="59" spans="2:18" x14ac:dyDescent="0.25">
      <c r="B59" s="46">
        <f t="shared" si="9"/>
        <v>10.399999999999999</v>
      </c>
      <c r="C59" s="909" t="s">
        <v>446</v>
      </c>
      <c r="D59" s="28"/>
      <c r="E59" s="28"/>
      <c r="F59" s="28"/>
      <c r="G59" s="28"/>
      <c r="H59" s="26"/>
      <c r="I59" s="26"/>
      <c r="J59" s="26"/>
      <c r="K59" s="26"/>
      <c r="L59" s="26"/>
      <c r="M59" s="26"/>
      <c r="N59" s="26"/>
      <c r="O59" s="26"/>
      <c r="P59" s="26"/>
      <c r="Q59" s="26"/>
      <c r="R59" s="26"/>
    </row>
    <row r="60" spans="2:18" x14ac:dyDescent="0.25">
      <c r="B60" s="46">
        <f>B59+0.1</f>
        <v>10.499999999999998</v>
      </c>
      <c r="C60" s="909" t="s">
        <v>447</v>
      </c>
      <c r="D60" s="28"/>
      <c r="E60" s="28"/>
      <c r="F60" s="28"/>
      <c r="G60" s="28"/>
      <c r="H60" s="26"/>
      <c r="I60" s="26"/>
      <c r="J60" s="26"/>
      <c r="K60" s="26"/>
      <c r="L60" s="26"/>
      <c r="M60" s="26"/>
      <c r="N60" s="26"/>
      <c r="O60" s="26"/>
      <c r="P60" s="26"/>
      <c r="Q60" s="26"/>
      <c r="R60" s="26"/>
    </row>
    <row r="61" spans="2:18" x14ac:dyDescent="0.25">
      <c r="B61" s="46">
        <f>B60+0.1</f>
        <v>10.599999999999998</v>
      </c>
      <c r="C61" s="909" t="s">
        <v>448</v>
      </c>
      <c r="D61" s="28"/>
      <c r="E61" s="28"/>
      <c r="F61" s="28"/>
      <c r="G61" s="28"/>
      <c r="H61" s="26"/>
      <c r="I61" s="26"/>
      <c r="J61" s="26"/>
      <c r="K61" s="26"/>
      <c r="L61" s="26"/>
      <c r="M61" s="26"/>
      <c r="N61" s="26"/>
      <c r="O61" s="26"/>
      <c r="P61" s="26"/>
      <c r="Q61" s="26"/>
      <c r="R61" s="26"/>
    </row>
    <row r="62" spans="2:18" x14ac:dyDescent="0.25">
      <c r="B62" s="46">
        <f>B61+0.1</f>
        <v>10.699999999999998</v>
      </c>
      <c r="C62" s="909" t="s">
        <v>438</v>
      </c>
      <c r="D62" s="28"/>
      <c r="E62" s="28"/>
      <c r="F62" s="28"/>
      <c r="G62" s="28"/>
      <c r="H62" s="26"/>
      <c r="I62" s="26"/>
      <c r="J62" s="26"/>
      <c r="K62" s="26"/>
      <c r="L62" s="26"/>
      <c r="M62" s="26"/>
      <c r="N62" s="26"/>
      <c r="O62" s="26"/>
      <c r="P62" s="26"/>
      <c r="Q62" s="26"/>
      <c r="R62" s="26"/>
    </row>
    <row r="63" spans="2:18" x14ac:dyDescent="0.25">
      <c r="B63" s="46"/>
      <c r="C63" s="909"/>
      <c r="D63" s="28"/>
      <c r="E63" s="28"/>
      <c r="F63" s="28"/>
      <c r="G63" s="28"/>
      <c r="H63" s="26"/>
      <c r="I63" s="26"/>
      <c r="J63" s="26"/>
      <c r="K63" s="26"/>
      <c r="L63" s="26"/>
      <c r="M63" s="26"/>
      <c r="N63" s="26"/>
      <c r="O63" s="26"/>
      <c r="P63" s="26"/>
      <c r="Q63" s="26"/>
      <c r="R63" s="26"/>
    </row>
    <row r="64" spans="2:18" x14ac:dyDescent="0.25">
      <c r="B64" s="46"/>
      <c r="C64" s="909"/>
      <c r="D64" s="28"/>
      <c r="E64" s="28"/>
      <c r="F64" s="28"/>
      <c r="G64" s="28"/>
      <c r="H64" s="26"/>
      <c r="I64" s="26"/>
      <c r="J64" s="26"/>
      <c r="K64" s="26"/>
      <c r="L64" s="26"/>
      <c r="M64" s="26"/>
      <c r="N64" s="26"/>
      <c r="O64" s="26"/>
      <c r="P64" s="26"/>
      <c r="Q64" s="26"/>
      <c r="R64" s="26"/>
    </row>
    <row r="65" spans="2:18" x14ac:dyDescent="0.25">
      <c r="B65" s="46">
        <v>9</v>
      </c>
      <c r="C65" s="910" t="s">
        <v>451</v>
      </c>
      <c r="D65" s="29"/>
      <c r="E65" s="29"/>
      <c r="F65" s="29"/>
      <c r="G65" s="29"/>
      <c r="H65" s="26"/>
      <c r="I65" s="26"/>
      <c r="J65" s="26"/>
      <c r="K65" s="30"/>
      <c r="L65" s="30"/>
      <c r="M65" s="30"/>
      <c r="N65" s="30"/>
      <c r="O65" s="30"/>
      <c r="P65" s="30"/>
      <c r="Q65" s="26"/>
      <c r="R65" s="26"/>
    </row>
    <row r="66" spans="2:18" x14ac:dyDescent="0.25">
      <c r="B66" s="46">
        <v>10</v>
      </c>
      <c r="C66" s="911" t="s">
        <v>218</v>
      </c>
      <c r="D66" s="31"/>
      <c r="E66" s="31"/>
      <c r="F66" s="31"/>
      <c r="G66" s="31"/>
      <c r="H66" s="26"/>
      <c r="I66" s="26"/>
      <c r="J66" s="26"/>
      <c r="K66" s="26"/>
      <c r="L66" s="26"/>
      <c r="M66" s="26"/>
      <c r="N66" s="26"/>
      <c r="O66" s="26"/>
      <c r="P66" s="26"/>
      <c r="Q66" s="26"/>
      <c r="R66" s="26"/>
    </row>
    <row r="67" spans="2:18" x14ac:dyDescent="0.25">
      <c r="B67" s="97">
        <v>11</v>
      </c>
      <c r="C67" s="912" t="s">
        <v>452</v>
      </c>
      <c r="D67" s="30"/>
      <c r="E67" s="30"/>
      <c r="F67" s="30"/>
      <c r="G67" s="30"/>
      <c r="H67" s="26"/>
      <c r="I67" s="26"/>
      <c r="J67" s="26"/>
      <c r="K67" s="26"/>
      <c r="L67" s="26"/>
      <c r="M67" s="26"/>
      <c r="N67" s="26"/>
      <c r="O67" s="26"/>
      <c r="P67" s="26"/>
      <c r="Q67" s="26"/>
      <c r="R67" s="26"/>
    </row>
    <row r="68" spans="2:18" x14ac:dyDescent="0.25">
      <c r="B68" s="46"/>
      <c r="C68" s="32"/>
      <c r="D68" s="32"/>
      <c r="E68" s="32"/>
      <c r="F68" s="32"/>
      <c r="G68" s="32"/>
      <c r="H68" s="26"/>
      <c r="I68" s="26"/>
      <c r="J68" s="26"/>
      <c r="K68" s="26"/>
      <c r="L68" s="26"/>
      <c r="M68" s="26"/>
      <c r="N68" s="26"/>
      <c r="O68" s="26"/>
      <c r="P68" s="26"/>
      <c r="Q68" s="26"/>
      <c r="R68" s="26"/>
    </row>
    <row r="69" spans="2:18" x14ac:dyDescent="0.25">
      <c r="B69" s="121"/>
      <c r="C69" s="160"/>
      <c r="D69" s="160"/>
      <c r="E69" s="160"/>
      <c r="F69" s="160"/>
      <c r="G69" s="160"/>
    </row>
    <row r="70" spans="2:18" x14ac:dyDescent="0.25">
      <c r="B70" s="121"/>
      <c r="C70" s="1121" t="s">
        <v>453</v>
      </c>
      <c r="D70" s="1121"/>
      <c r="E70" s="1121"/>
      <c r="F70" s="1121"/>
      <c r="G70" s="1121"/>
    </row>
    <row r="71" spans="2:18" x14ac:dyDescent="0.25">
      <c r="B71" s="121"/>
      <c r="C71" s="1123" t="s">
        <v>454</v>
      </c>
      <c r="D71" s="1123"/>
      <c r="E71" s="1123"/>
      <c r="F71" s="1123"/>
    </row>
    <row r="72" spans="2:18" x14ac:dyDescent="0.25">
      <c r="B72" s="121"/>
    </row>
    <row r="73" spans="2:18" x14ac:dyDescent="0.25">
      <c r="B73" s="121"/>
      <c r="C73" s="908" t="s">
        <v>455</v>
      </c>
      <c r="D73" s="408"/>
      <c r="E73" s="408"/>
      <c r="F73" s="408"/>
      <c r="G73" s="408"/>
    </row>
    <row r="74" spans="2:18" x14ac:dyDescent="0.25">
      <c r="R74" s="24" t="s">
        <v>73</v>
      </c>
    </row>
    <row r="75" spans="2:18" ht="15" customHeight="1" x14ac:dyDescent="0.25">
      <c r="B75" s="938" t="s">
        <v>1</v>
      </c>
      <c r="C75" s="938" t="s">
        <v>425</v>
      </c>
      <c r="D75" s="945" t="s">
        <v>75</v>
      </c>
      <c r="E75" s="946"/>
      <c r="F75" s="947"/>
      <c r="G75" s="945" t="s">
        <v>76</v>
      </c>
      <c r="H75" s="946"/>
      <c r="I75" s="947"/>
      <c r="J75" s="945" t="s">
        <v>77</v>
      </c>
      <c r="K75" s="946"/>
      <c r="L75" s="947"/>
      <c r="M75" s="945" t="s">
        <v>426</v>
      </c>
      <c r="N75" s="946"/>
      <c r="O75" s="946"/>
      <c r="P75" s="946"/>
      <c r="Q75" s="947"/>
      <c r="R75" s="1034" t="s">
        <v>79</v>
      </c>
    </row>
    <row r="76" spans="2:18" ht="27.6" x14ac:dyDescent="0.25">
      <c r="B76" s="939"/>
      <c r="C76" s="939"/>
      <c r="D76" s="418" t="s">
        <v>80</v>
      </c>
      <c r="E76" s="418" t="s">
        <v>81</v>
      </c>
      <c r="F76" s="418" t="s">
        <v>82</v>
      </c>
      <c r="G76" s="418" t="s">
        <v>80</v>
      </c>
      <c r="H76" s="418" t="s">
        <v>81</v>
      </c>
      <c r="I76" s="418" t="s">
        <v>82</v>
      </c>
      <c r="J76" s="418" t="s">
        <v>80</v>
      </c>
      <c r="K76" s="418" t="s">
        <v>135</v>
      </c>
      <c r="L76" s="418" t="s">
        <v>86</v>
      </c>
      <c r="M76" s="418" t="s">
        <v>87</v>
      </c>
      <c r="N76" s="418" t="s">
        <v>88</v>
      </c>
      <c r="O76" s="418" t="s">
        <v>89</v>
      </c>
      <c r="P76" s="418" t="s">
        <v>90</v>
      </c>
      <c r="Q76" s="418" t="s">
        <v>91</v>
      </c>
      <c r="R76" s="1122"/>
    </row>
    <row r="77" spans="2:18" x14ac:dyDescent="0.25">
      <c r="B77" s="1124"/>
      <c r="C77" s="1124"/>
      <c r="D77" s="418" t="s">
        <v>92</v>
      </c>
      <c r="E77" s="418" t="s">
        <v>93</v>
      </c>
      <c r="F77" s="418" t="s">
        <v>94</v>
      </c>
      <c r="G77" s="418" t="s">
        <v>95</v>
      </c>
      <c r="H77" s="418" t="s">
        <v>96</v>
      </c>
      <c r="I77" s="418" t="s">
        <v>97</v>
      </c>
      <c r="J77" s="418" t="s">
        <v>98</v>
      </c>
      <c r="K77" s="418" t="s">
        <v>99</v>
      </c>
      <c r="L77" s="418" t="s">
        <v>427</v>
      </c>
      <c r="M77" s="418" t="s">
        <v>103</v>
      </c>
      <c r="N77" s="418" t="s">
        <v>103</v>
      </c>
      <c r="O77" s="418" t="s">
        <v>103</v>
      </c>
      <c r="P77" s="418" t="s">
        <v>103</v>
      </c>
      <c r="Q77" s="418" t="s">
        <v>103</v>
      </c>
      <c r="R77" s="427"/>
    </row>
    <row r="78" spans="2:18" x14ac:dyDescent="0.25">
      <c r="B78" s="46"/>
      <c r="C78" s="122"/>
      <c r="D78" s="428"/>
      <c r="E78" s="428"/>
      <c r="F78" s="428"/>
      <c r="G78" s="428"/>
      <c r="H78" s="428"/>
      <c r="I78" s="428"/>
      <c r="J78" s="428"/>
      <c r="K78" s="428"/>
      <c r="L78" s="428"/>
      <c r="M78" s="428"/>
      <c r="N78" s="428"/>
      <c r="O78" s="428"/>
      <c r="P78" s="428"/>
      <c r="Q78" s="428"/>
      <c r="R78" s="429"/>
    </row>
    <row r="79" spans="2:18" x14ac:dyDescent="0.25">
      <c r="B79" s="97">
        <v>1</v>
      </c>
      <c r="C79" s="910" t="s">
        <v>442</v>
      </c>
      <c r="D79" s="1125" t="s">
        <v>1042</v>
      </c>
      <c r="E79" s="1126"/>
      <c r="F79" s="1126"/>
      <c r="G79" s="1126"/>
      <c r="H79" s="1126"/>
      <c r="I79" s="1126"/>
      <c r="J79" s="1126"/>
      <c r="K79" s="1126"/>
      <c r="L79" s="1126"/>
      <c r="M79" s="1126"/>
      <c r="N79" s="1126"/>
      <c r="O79" s="1126"/>
      <c r="P79" s="1126"/>
      <c r="Q79" s="1127"/>
      <c r="R79" s="26"/>
    </row>
    <row r="80" spans="2:18" x14ac:dyDescent="0.25">
      <c r="B80" s="46">
        <v>1.1000000000000001</v>
      </c>
      <c r="C80" s="909" t="s">
        <v>443</v>
      </c>
      <c r="D80" s="1128"/>
      <c r="E80" s="1129"/>
      <c r="F80" s="1129"/>
      <c r="G80" s="1129"/>
      <c r="H80" s="1129"/>
      <c r="I80" s="1129"/>
      <c r="J80" s="1129"/>
      <c r="K80" s="1129"/>
      <c r="L80" s="1129"/>
      <c r="M80" s="1129"/>
      <c r="N80" s="1129"/>
      <c r="O80" s="1129"/>
      <c r="P80" s="1129"/>
      <c r="Q80" s="1130"/>
      <c r="R80" s="26"/>
    </row>
    <row r="81" spans="2:18" ht="27.6" x14ac:dyDescent="0.25">
      <c r="B81" s="46">
        <f t="shared" ref="B81:B84" si="10">B80+0.1</f>
        <v>1.2000000000000002</v>
      </c>
      <c r="C81" s="909" t="s">
        <v>431</v>
      </c>
      <c r="D81" s="1128"/>
      <c r="E81" s="1129"/>
      <c r="F81" s="1129"/>
      <c r="G81" s="1129"/>
      <c r="H81" s="1129"/>
      <c r="I81" s="1129"/>
      <c r="J81" s="1129"/>
      <c r="K81" s="1129"/>
      <c r="L81" s="1129"/>
      <c r="M81" s="1129"/>
      <c r="N81" s="1129"/>
      <c r="O81" s="1129"/>
      <c r="P81" s="1129"/>
      <c r="Q81" s="1130"/>
      <c r="R81" s="26"/>
    </row>
    <row r="82" spans="2:18" x14ac:dyDescent="0.25">
      <c r="B82" s="46">
        <f t="shared" si="10"/>
        <v>1.3000000000000003</v>
      </c>
      <c r="C82" s="909" t="s">
        <v>444</v>
      </c>
      <c r="D82" s="1128"/>
      <c r="E82" s="1129"/>
      <c r="F82" s="1129"/>
      <c r="G82" s="1129"/>
      <c r="H82" s="1129"/>
      <c r="I82" s="1129"/>
      <c r="J82" s="1129"/>
      <c r="K82" s="1129"/>
      <c r="L82" s="1129"/>
      <c r="M82" s="1129"/>
      <c r="N82" s="1129"/>
      <c r="O82" s="1129"/>
      <c r="P82" s="1129"/>
      <c r="Q82" s="1130"/>
      <c r="R82" s="26"/>
    </row>
    <row r="83" spans="2:18" x14ac:dyDescent="0.25">
      <c r="B83" s="46">
        <f t="shared" si="10"/>
        <v>1.4000000000000004</v>
      </c>
      <c r="C83" s="909" t="s">
        <v>445</v>
      </c>
      <c r="D83" s="1128"/>
      <c r="E83" s="1129"/>
      <c r="F83" s="1129"/>
      <c r="G83" s="1129"/>
      <c r="H83" s="1129"/>
      <c r="I83" s="1129"/>
      <c r="J83" s="1129"/>
      <c r="K83" s="1129"/>
      <c r="L83" s="1129"/>
      <c r="M83" s="1129"/>
      <c r="N83" s="1129"/>
      <c r="O83" s="1129"/>
      <c r="P83" s="1129"/>
      <c r="Q83" s="1130"/>
      <c r="R83" s="26"/>
    </row>
    <row r="84" spans="2:18" x14ac:dyDescent="0.25">
      <c r="B84" s="46">
        <f t="shared" si="10"/>
        <v>1.5000000000000004</v>
      </c>
      <c r="C84" s="909" t="s">
        <v>446</v>
      </c>
      <c r="D84" s="1128"/>
      <c r="E84" s="1129"/>
      <c r="F84" s="1129"/>
      <c r="G84" s="1129"/>
      <c r="H84" s="1129"/>
      <c r="I84" s="1129"/>
      <c r="J84" s="1129"/>
      <c r="K84" s="1129"/>
      <c r="L84" s="1129"/>
      <c r="M84" s="1129"/>
      <c r="N84" s="1129"/>
      <c r="O84" s="1129"/>
      <c r="P84" s="1129"/>
      <c r="Q84" s="1130"/>
      <c r="R84" s="26"/>
    </row>
    <row r="85" spans="2:18" x14ac:dyDescent="0.25">
      <c r="B85" s="46">
        <f>B84+0.1</f>
        <v>1.6000000000000005</v>
      </c>
      <c r="C85" s="909" t="s">
        <v>447</v>
      </c>
      <c r="D85" s="1128"/>
      <c r="E85" s="1129"/>
      <c r="F85" s="1129"/>
      <c r="G85" s="1129"/>
      <c r="H85" s="1129"/>
      <c r="I85" s="1129"/>
      <c r="J85" s="1129"/>
      <c r="K85" s="1129"/>
      <c r="L85" s="1129"/>
      <c r="M85" s="1129"/>
      <c r="N85" s="1129"/>
      <c r="O85" s="1129"/>
      <c r="P85" s="1129"/>
      <c r="Q85" s="1130"/>
      <c r="R85" s="26"/>
    </row>
    <row r="86" spans="2:18" x14ac:dyDescent="0.25">
      <c r="B86" s="46">
        <f>B85+0.1</f>
        <v>1.7000000000000006</v>
      </c>
      <c r="C86" s="909" t="s">
        <v>448</v>
      </c>
      <c r="D86" s="1128"/>
      <c r="E86" s="1129"/>
      <c r="F86" s="1129"/>
      <c r="G86" s="1129"/>
      <c r="H86" s="1129"/>
      <c r="I86" s="1129"/>
      <c r="J86" s="1129"/>
      <c r="K86" s="1129"/>
      <c r="L86" s="1129"/>
      <c r="M86" s="1129"/>
      <c r="N86" s="1129"/>
      <c r="O86" s="1129"/>
      <c r="P86" s="1129"/>
      <c r="Q86" s="1130"/>
      <c r="R86" s="26"/>
    </row>
    <row r="87" spans="2:18" x14ac:dyDescent="0.25">
      <c r="B87" s="46">
        <f>B86+0.1</f>
        <v>1.8000000000000007</v>
      </c>
      <c r="C87" s="909" t="s">
        <v>438</v>
      </c>
      <c r="D87" s="1128"/>
      <c r="E87" s="1129"/>
      <c r="F87" s="1129"/>
      <c r="G87" s="1129"/>
      <c r="H87" s="1129"/>
      <c r="I87" s="1129"/>
      <c r="J87" s="1129"/>
      <c r="K87" s="1129"/>
      <c r="L87" s="1129"/>
      <c r="M87" s="1129"/>
      <c r="N87" s="1129"/>
      <c r="O87" s="1129"/>
      <c r="P87" s="1129"/>
      <c r="Q87" s="1130"/>
      <c r="R87" s="26"/>
    </row>
    <row r="88" spans="2:18" x14ac:dyDescent="0.25">
      <c r="B88" s="46"/>
      <c r="C88" s="909"/>
      <c r="D88" s="1128"/>
      <c r="E88" s="1129"/>
      <c r="F88" s="1129"/>
      <c r="G88" s="1129"/>
      <c r="H88" s="1129"/>
      <c r="I88" s="1129"/>
      <c r="J88" s="1129"/>
      <c r="K88" s="1129"/>
      <c r="L88" s="1129"/>
      <c r="M88" s="1129"/>
      <c r="N88" s="1129"/>
      <c r="O88" s="1129"/>
      <c r="P88" s="1129"/>
      <c r="Q88" s="1130"/>
      <c r="R88" s="26"/>
    </row>
    <row r="89" spans="2:18" x14ac:dyDescent="0.25">
      <c r="B89" s="97">
        <v>2</v>
      </c>
      <c r="C89" s="910" t="s">
        <v>449</v>
      </c>
      <c r="D89" s="1128"/>
      <c r="E89" s="1129"/>
      <c r="F89" s="1129"/>
      <c r="G89" s="1129"/>
      <c r="H89" s="1129"/>
      <c r="I89" s="1129"/>
      <c r="J89" s="1129"/>
      <c r="K89" s="1129"/>
      <c r="L89" s="1129"/>
      <c r="M89" s="1129"/>
      <c r="N89" s="1129"/>
      <c r="O89" s="1129"/>
      <c r="P89" s="1129"/>
      <c r="Q89" s="1130"/>
      <c r="R89" s="26"/>
    </row>
    <row r="90" spans="2:18" x14ac:dyDescent="0.25">
      <c r="B90" s="46">
        <f t="shared" ref="B90:B93" si="11">B89+0.1</f>
        <v>2.1</v>
      </c>
      <c r="C90" s="909" t="s">
        <v>443</v>
      </c>
      <c r="D90" s="1128"/>
      <c r="E90" s="1129"/>
      <c r="F90" s="1129"/>
      <c r="G90" s="1129"/>
      <c r="H90" s="1129"/>
      <c r="I90" s="1129"/>
      <c r="J90" s="1129"/>
      <c r="K90" s="1129"/>
      <c r="L90" s="1129"/>
      <c r="M90" s="1129"/>
      <c r="N90" s="1129"/>
      <c r="O90" s="1129"/>
      <c r="P90" s="1129"/>
      <c r="Q90" s="1130"/>
      <c r="R90" s="26"/>
    </row>
    <row r="91" spans="2:18" ht="27.6" x14ac:dyDescent="0.25">
      <c r="B91" s="46">
        <f t="shared" si="11"/>
        <v>2.2000000000000002</v>
      </c>
      <c r="C91" s="909" t="s">
        <v>431</v>
      </c>
      <c r="D91" s="1128"/>
      <c r="E91" s="1129"/>
      <c r="F91" s="1129"/>
      <c r="G91" s="1129"/>
      <c r="H91" s="1129"/>
      <c r="I91" s="1129"/>
      <c r="J91" s="1129"/>
      <c r="K91" s="1129"/>
      <c r="L91" s="1129"/>
      <c r="M91" s="1129"/>
      <c r="N91" s="1129"/>
      <c r="O91" s="1129"/>
      <c r="P91" s="1129"/>
      <c r="Q91" s="1130"/>
      <c r="R91" s="26"/>
    </row>
    <row r="92" spans="2:18" x14ac:dyDescent="0.25">
      <c r="B92" s="46">
        <f t="shared" si="11"/>
        <v>2.3000000000000003</v>
      </c>
      <c r="C92" s="909" t="s">
        <v>445</v>
      </c>
      <c r="D92" s="1128"/>
      <c r="E92" s="1129"/>
      <c r="F92" s="1129"/>
      <c r="G92" s="1129"/>
      <c r="H92" s="1129"/>
      <c r="I92" s="1129"/>
      <c r="J92" s="1129"/>
      <c r="K92" s="1129"/>
      <c r="L92" s="1129"/>
      <c r="M92" s="1129"/>
      <c r="N92" s="1129"/>
      <c r="O92" s="1129"/>
      <c r="P92" s="1129"/>
      <c r="Q92" s="1130"/>
      <c r="R92" s="26"/>
    </row>
    <row r="93" spans="2:18" x14ac:dyDescent="0.25">
      <c r="B93" s="46">
        <f t="shared" si="11"/>
        <v>2.4000000000000004</v>
      </c>
      <c r="C93" s="909" t="s">
        <v>446</v>
      </c>
      <c r="D93" s="1128"/>
      <c r="E93" s="1129"/>
      <c r="F93" s="1129"/>
      <c r="G93" s="1129"/>
      <c r="H93" s="1129"/>
      <c r="I93" s="1129"/>
      <c r="J93" s="1129"/>
      <c r="K93" s="1129"/>
      <c r="L93" s="1129"/>
      <c r="M93" s="1129"/>
      <c r="N93" s="1129"/>
      <c r="O93" s="1129"/>
      <c r="P93" s="1129"/>
      <c r="Q93" s="1130"/>
      <c r="R93" s="26"/>
    </row>
    <row r="94" spans="2:18" x14ac:dyDescent="0.25">
      <c r="B94" s="46">
        <f>B93+0.1</f>
        <v>2.5000000000000004</v>
      </c>
      <c r="C94" s="909" t="s">
        <v>447</v>
      </c>
      <c r="D94" s="1128"/>
      <c r="E94" s="1129"/>
      <c r="F94" s="1129"/>
      <c r="G94" s="1129"/>
      <c r="H94" s="1129"/>
      <c r="I94" s="1129"/>
      <c r="J94" s="1129"/>
      <c r="K94" s="1129"/>
      <c r="L94" s="1129"/>
      <c r="M94" s="1129"/>
      <c r="N94" s="1129"/>
      <c r="O94" s="1129"/>
      <c r="P94" s="1129"/>
      <c r="Q94" s="1130"/>
      <c r="R94" s="26"/>
    </row>
    <row r="95" spans="2:18" x14ac:dyDescent="0.25">
      <c r="B95" s="46">
        <f>B94+0.1</f>
        <v>2.6000000000000005</v>
      </c>
      <c r="C95" s="909" t="s">
        <v>448</v>
      </c>
      <c r="D95" s="1128"/>
      <c r="E95" s="1129"/>
      <c r="F95" s="1129"/>
      <c r="G95" s="1129"/>
      <c r="H95" s="1129"/>
      <c r="I95" s="1129"/>
      <c r="J95" s="1129"/>
      <c r="K95" s="1129"/>
      <c r="L95" s="1129"/>
      <c r="M95" s="1129"/>
      <c r="N95" s="1129"/>
      <c r="O95" s="1129"/>
      <c r="P95" s="1129"/>
      <c r="Q95" s="1130"/>
      <c r="R95" s="26"/>
    </row>
    <row r="96" spans="2:18" x14ac:dyDescent="0.25">
      <c r="B96" s="46">
        <f>B95+0.1</f>
        <v>2.7000000000000006</v>
      </c>
      <c r="C96" s="909" t="s">
        <v>438</v>
      </c>
      <c r="D96" s="1128"/>
      <c r="E96" s="1129"/>
      <c r="F96" s="1129"/>
      <c r="G96" s="1129"/>
      <c r="H96" s="1129"/>
      <c r="I96" s="1129"/>
      <c r="J96" s="1129"/>
      <c r="K96" s="1129"/>
      <c r="L96" s="1129"/>
      <c r="M96" s="1129"/>
      <c r="N96" s="1129"/>
      <c r="O96" s="1129"/>
      <c r="P96" s="1129"/>
      <c r="Q96" s="1130"/>
      <c r="R96" s="26"/>
    </row>
    <row r="97" spans="2:18" x14ac:dyDescent="0.25">
      <c r="B97" s="46"/>
      <c r="C97" s="909"/>
      <c r="D97" s="1128"/>
      <c r="E97" s="1129"/>
      <c r="F97" s="1129"/>
      <c r="G97" s="1129"/>
      <c r="H97" s="1129"/>
      <c r="I97" s="1129"/>
      <c r="J97" s="1129"/>
      <c r="K97" s="1129"/>
      <c r="L97" s="1129"/>
      <c r="M97" s="1129"/>
      <c r="N97" s="1129"/>
      <c r="O97" s="1129"/>
      <c r="P97" s="1129"/>
      <c r="Q97" s="1130"/>
      <c r="R97" s="26"/>
    </row>
    <row r="98" spans="2:18" x14ac:dyDescent="0.25">
      <c r="B98" s="97">
        <v>3</v>
      </c>
      <c r="C98" s="910" t="s">
        <v>450</v>
      </c>
      <c r="D98" s="1128"/>
      <c r="E98" s="1129"/>
      <c r="F98" s="1129"/>
      <c r="G98" s="1129"/>
      <c r="H98" s="1129"/>
      <c r="I98" s="1129"/>
      <c r="J98" s="1129"/>
      <c r="K98" s="1129"/>
      <c r="L98" s="1129"/>
      <c r="M98" s="1129"/>
      <c r="N98" s="1129"/>
      <c r="O98" s="1129"/>
      <c r="P98" s="1129"/>
      <c r="Q98" s="1130"/>
      <c r="R98" s="26"/>
    </row>
    <row r="99" spans="2:18" x14ac:dyDescent="0.25">
      <c r="B99" s="46"/>
      <c r="C99" s="909" t="s">
        <v>304</v>
      </c>
      <c r="D99" s="1128"/>
      <c r="E99" s="1129"/>
      <c r="F99" s="1129"/>
      <c r="G99" s="1129"/>
      <c r="H99" s="1129"/>
      <c r="I99" s="1129"/>
      <c r="J99" s="1129"/>
      <c r="K99" s="1129"/>
      <c r="L99" s="1129"/>
      <c r="M99" s="1129"/>
      <c r="N99" s="1129"/>
      <c r="O99" s="1129"/>
      <c r="P99" s="1129"/>
      <c r="Q99" s="1130"/>
      <c r="R99" s="26"/>
    </row>
    <row r="100" spans="2:18" x14ac:dyDescent="0.25">
      <c r="B100" s="46"/>
      <c r="C100" s="909" t="s">
        <v>304</v>
      </c>
      <c r="D100" s="1128"/>
      <c r="E100" s="1129"/>
      <c r="F100" s="1129"/>
      <c r="G100" s="1129"/>
      <c r="H100" s="1129"/>
      <c r="I100" s="1129"/>
      <c r="J100" s="1129"/>
      <c r="K100" s="1129"/>
      <c r="L100" s="1129"/>
      <c r="M100" s="1129"/>
      <c r="N100" s="1129"/>
      <c r="O100" s="1129"/>
      <c r="P100" s="1129"/>
      <c r="Q100" s="1130"/>
      <c r="R100" s="26"/>
    </row>
    <row r="101" spans="2:18" x14ac:dyDescent="0.25">
      <c r="B101" s="46"/>
      <c r="C101" s="909" t="s">
        <v>304</v>
      </c>
      <c r="D101" s="1128"/>
      <c r="E101" s="1129"/>
      <c r="F101" s="1129"/>
      <c r="G101" s="1129"/>
      <c r="H101" s="1129"/>
      <c r="I101" s="1129"/>
      <c r="J101" s="1129"/>
      <c r="K101" s="1129"/>
      <c r="L101" s="1129"/>
      <c r="M101" s="1129"/>
      <c r="N101" s="1129"/>
      <c r="O101" s="1129"/>
      <c r="P101" s="1129"/>
      <c r="Q101" s="1130"/>
      <c r="R101" s="26"/>
    </row>
    <row r="102" spans="2:18" x14ac:dyDescent="0.25">
      <c r="B102" s="46"/>
      <c r="C102" s="909"/>
      <c r="D102" s="1128"/>
      <c r="E102" s="1129"/>
      <c r="F102" s="1129"/>
      <c r="G102" s="1129"/>
      <c r="H102" s="1129"/>
      <c r="I102" s="1129"/>
      <c r="J102" s="1129"/>
      <c r="K102" s="1129"/>
      <c r="L102" s="1129"/>
      <c r="M102" s="1129"/>
      <c r="N102" s="1129"/>
      <c r="O102" s="1129"/>
      <c r="P102" s="1129"/>
      <c r="Q102" s="1130"/>
      <c r="R102" s="26"/>
    </row>
    <row r="103" spans="2:18" x14ac:dyDescent="0.25">
      <c r="B103" s="97">
        <v>10</v>
      </c>
      <c r="C103" s="910" t="s">
        <v>180</v>
      </c>
      <c r="D103" s="1128"/>
      <c r="E103" s="1129"/>
      <c r="F103" s="1129"/>
      <c r="G103" s="1129"/>
      <c r="H103" s="1129"/>
      <c r="I103" s="1129"/>
      <c r="J103" s="1129"/>
      <c r="K103" s="1129"/>
      <c r="L103" s="1129"/>
      <c r="M103" s="1129"/>
      <c r="N103" s="1129"/>
      <c r="O103" s="1129"/>
      <c r="P103" s="1129"/>
      <c r="Q103" s="1130"/>
      <c r="R103" s="26"/>
    </row>
    <row r="104" spans="2:18" x14ac:dyDescent="0.25">
      <c r="B104" s="46">
        <f t="shared" ref="B104:B107" si="12">B103+0.1</f>
        <v>10.1</v>
      </c>
      <c r="C104" s="909" t="s">
        <v>443</v>
      </c>
      <c r="D104" s="1128"/>
      <c r="E104" s="1129"/>
      <c r="F104" s="1129"/>
      <c r="G104" s="1129"/>
      <c r="H104" s="1129"/>
      <c r="I104" s="1129"/>
      <c r="J104" s="1129"/>
      <c r="K104" s="1129"/>
      <c r="L104" s="1129"/>
      <c r="M104" s="1129"/>
      <c r="N104" s="1129"/>
      <c r="O104" s="1129"/>
      <c r="P104" s="1129"/>
      <c r="Q104" s="1130"/>
      <c r="R104" s="26"/>
    </row>
    <row r="105" spans="2:18" ht="27.6" x14ac:dyDescent="0.25">
      <c r="B105" s="46">
        <f t="shared" si="12"/>
        <v>10.199999999999999</v>
      </c>
      <c r="C105" s="909" t="s">
        <v>431</v>
      </c>
      <c r="D105" s="1128"/>
      <c r="E105" s="1129"/>
      <c r="F105" s="1129"/>
      <c r="G105" s="1129"/>
      <c r="H105" s="1129"/>
      <c r="I105" s="1129"/>
      <c r="J105" s="1129"/>
      <c r="K105" s="1129"/>
      <c r="L105" s="1129"/>
      <c r="M105" s="1129"/>
      <c r="N105" s="1129"/>
      <c r="O105" s="1129"/>
      <c r="P105" s="1129"/>
      <c r="Q105" s="1130"/>
      <c r="R105" s="26"/>
    </row>
    <row r="106" spans="2:18" x14ac:dyDescent="0.25">
      <c r="B106" s="46">
        <f t="shared" si="12"/>
        <v>10.299999999999999</v>
      </c>
      <c r="C106" s="909" t="s">
        <v>445</v>
      </c>
      <c r="D106" s="1128"/>
      <c r="E106" s="1129"/>
      <c r="F106" s="1129"/>
      <c r="G106" s="1129"/>
      <c r="H106" s="1129"/>
      <c r="I106" s="1129"/>
      <c r="J106" s="1129"/>
      <c r="K106" s="1129"/>
      <c r="L106" s="1129"/>
      <c r="M106" s="1129"/>
      <c r="N106" s="1129"/>
      <c r="O106" s="1129"/>
      <c r="P106" s="1129"/>
      <c r="Q106" s="1130"/>
      <c r="R106" s="26"/>
    </row>
    <row r="107" spans="2:18" x14ac:dyDescent="0.25">
      <c r="B107" s="46">
        <f t="shared" si="12"/>
        <v>10.399999999999999</v>
      </c>
      <c r="C107" s="909" t="s">
        <v>446</v>
      </c>
      <c r="D107" s="1128"/>
      <c r="E107" s="1129"/>
      <c r="F107" s="1129"/>
      <c r="G107" s="1129"/>
      <c r="H107" s="1129"/>
      <c r="I107" s="1129"/>
      <c r="J107" s="1129"/>
      <c r="K107" s="1129"/>
      <c r="L107" s="1129"/>
      <c r="M107" s="1129"/>
      <c r="N107" s="1129"/>
      <c r="O107" s="1129"/>
      <c r="P107" s="1129"/>
      <c r="Q107" s="1130"/>
      <c r="R107" s="26"/>
    </row>
    <row r="108" spans="2:18" x14ac:dyDescent="0.25">
      <c r="B108" s="46">
        <f>B107+0.1</f>
        <v>10.499999999999998</v>
      </c>
      <c r="C108" s="909" t="s">
        <v>447</v>
      </c>
      <c r="D108" s="1128"/>
      <c r="E108" s="1129"/>
      <c r="F108" s="1129"/>
      <c r="G108" s="1129"/>
      <c r="H108" s="1129"/>
      <c r="I108" s="1129"/>
      <c r="J108" s="1129"/>
      <c r="K108" s="1129"/>
      <c r="L108" s="1129"/>
      <c r="M108" s="1129"/>
      <c r="N108" s="1129"/>
      <c r="O108" s="1129"/>
      <c r="P108" s="1129"/>
      <c r="Q108" s="1130"/>
      <c r="R108" s="26"/>
    </row>
    <row r="109" spans="2:18" x14ac:dyDescent="0.25">
      <c r="B109" s="46">
        <f>B108+0.1</f>
        <v>10.599999999999998</v>
      </c>
      <c r="C109" s="909" t="s">
        <v>448</v>
      </c>
      <c r="D109" s="1128"/>
      <c r="E109" s="1129"/>
      <c r="F109" s="1129"/>
      <c r="G109" s="1129"/>
      <c r="H109" s="1129"/>
      <c r="I109" s="1129"/>
      <c r="J109" s="1129"/>
      <c r="K109" s="1129"/>
      <c r="L109" s="1129"/>
      <c r="M109" s="1129"/>
      <c r="N109" s="1129"/>
      <c r="O109" s="1129"/>
      <c r="P109" s="1129"/>
      <c r="Q109" s="1130"/>
      <c r="R109" s="26"/>
    </row>
    <row r="110" spans="2:18" x14ac:dyDescent="0.25">
      <c r="B110" s="46">
        <f>B109+0.1</f>
        <v>10.699999999999998</v>
      </c>
      <c r="C110" s="909" t="s">
        <v>438</v>
      </c>
      <c r="D110" s="1128"/>
      <c r="E110" s="1129"/>
      <c r="F110" s="1129"/>
      <c r="G110" s="1129"/>
      <c r="H110" s="1129"/>
      <c r="I110" s="1129"/>
      <c r="J110" s="1129"/>
      <c r="K110" s="1129"/>
      <c r="L110" s="1129"/>
      <c r="M110" s="1129"/>
      <c r="N110" s="1129"/>
      <c r="O110" s="1129"/>
      <c r="P110" s="1129"/>
      <c r="Q110" s="1130"/>
      <c r="R110" s="26"/>
    </row>
    <row r="111" spans="2:18" x14ac:dyDescent="0.25">
      <c r="B111" s="46"/>
      <c r="C111" s="909"/>
      <c r="D111" s="1128"/>
      <c r="E111" s="1129"/>
      <c r="F111" s="1129"/>
      <c r="G111" s="1129"/>
      <c r="H111" s="1129"/>
      <c r="I111" s="1129"/>
      <c r="J111" s="1129"/>
      <c r="K111" s="1129"/>
      <c r="L111" s="1129"/>
      <c r="M111" s="1129"/>
      <c r="N111" s="1129"/>
      <c r="O111" s="1129"/>
      <c r="P111" s="1129"/>
      <c r="Q111" s="1130"/>
      <c r="R111" s="26"/>
    </row>
    <row r="112" spans="2:18" x14ac:dyDescent="0.25">
      <c r="B112" s="46"/>
      <c r="C112" s="910"/>
      <c r="D112" s="1128"/>
      <c r="E112" s="1129"/>
      <c r="F112" s="1129"/>
      <c r="G112" s="1129"/>
      <c r="H112" s="1129"/>
      <c r="I112" s="1129"/>
      <c r="J112" s="1129"/>
      <c r="K112" s="1129"/>
      <c r="L112" s="1129"/>
      <c r="M112" s="1129"/>
      <c r="N112" s="1129"/>
      <c r="O112" s="1129"/>
      <c r="P112" s="1129"/>
      <c r="Q112" s="1130"/>
      <c r="R112" s="26"/>
    </row>
    <row r="113" spans="2:18" x14ac:dyDescent="0.25">
      <c r="B113" s="46"/>
      <c r="C113" s="909"/>
      <c r="D113" s="1128"/>
      <c r="E113" s="1129"/>
      <c r="F113" s="1129"/>
      <c r="G113" s="1129"/>
      <c r="H113" s="1129"/>
      <c r="I113" s="1129"/>
      <c r="J113" s="1129"/>
      <c r="K113" s="1129"/>
      <c r="L113" s="1129"/>
      <c r="M113" s="1129"/>
      <c r="N113" s="1129"/>
      <c r="O113" s="1129"/>
      <c r="P113" s="1129"/>
      <c r="Q113" s="1130"/>
      <c r="R113" s="26"/>
    </row>
    <row r="114" spans="2:18" x14ac:dyDescent="0.25">
      <c r="B114" s="46">
        <v>9</v>
      </c>
      <c r="C114" s="910" t="s">
        <v>451</v>
      </c>
      <c r="D114" s="1128"/>
      <c r="E114" s="1129"/>
      <c r="F114" s="1129"/>
      <c r="G114" s="1129"/>
      <c r="H114" s="1129"/>
      <c r="I114" s="1129"/>
      <c r="J114" s="1129"/>
      <c r="K114" s="1129"/>
      <c r="L114" s="1129"/>
      <c r="M114" s="1129"/>
      <c r="N114" s="1129"/>
      <c r="O114" s="1129"/>
      <c r="P114" s="1129"/>
      <c r="Q114" s="1130"/>
      <c r="R114" s="26"/>
    </row>
    <row r="115" spans="2:18" x14ac:dyDescent="0.25">
      <c r="B115" s="46">
        <v>10</v>
      </c>
      <c r="C115" s="911" t="s">
        <v>218</v>
      </c>
      <c r="D115" s="1128"/>
      <c r="E115" s="1129"/>
      <c r="F115" s="1129"/>
      <c r="G115" s="1129"/>
      <c r="H115" s="1129"/>
      <c r="I115" s="1129"/>
      <c r="J115" s="1129"/>
      <c r="K115" s="1129"/>
      <c r="L115" s="1129"/>
      <c r="M115" s="1129"/>
      <c r="N115" s="1129"/>
      <c r="O115" s="1129"/>
      <c r="P115" s="1129"/>
      <c r="Q115" s="1130"/>
      <c r="R115" s="26"/>
    </row>
    <row r="116" spans="2:18" x14ac:dyDescent="0.25">
      <c r="B116" s="97">
        <v>11</v>
      </c>
      <c r="C116" s="912" t="s">
        <v>452</v>
      </c>
      <c r="D116" s="1128"/>
      <c r="E116" s="1129"/>
      <c r="F116" s="1129"/>
      <c r="G116" s="1129"/>
      <c r="H116" s="1129"/>
      <c r="I116" s="1129"/>
      <c r="J116" s="1129"/>
      <c r="K116" s="1129"/>
      <c r="L116" s="1129"/>
      <c r="M116" s="1129"/>
      <c r="N116" s="1129"/>
      <c r="O116" s="1129"/>
      <c r="P116" s="1129"/>
      <c r="Q116" s="1130"/>
      <c r="R116" s="26"/>
    </row>
    <row r="117" spans="2:18" x14ac:dyDescent="0.25">
      <c r="B117" s="46"/>
      <c r="C117" s="32"/>
      <c r="D117" s="1131"/>
      <c r="E117" s="1132"/>
      <c r="F117" s="1132"/>
      <c r="G117" s="1132"/>
      <c r="H117" s="1132"/>
      <c r="I117" s="1132"/>
      <c r="J117" s="1132"/>
      <c r="K117" s="1132"/>
      <c r="L117" s="1132"/>
      <c r="M117" s="1132"/>
      <c r="N117" s="1132"/>
      <c r="O117" s="1132"/>
      <c r="P117" s="1132"/>
      <c r="Q117" s="1133"/>
      <c r="R117" s="26"/>
    </row>
    <row r="119" spans="2:18" x14ac:dyDescent="0.25">
      <c r="C119" s="1121" t="s">
        <v>453</v>
      </c>
      <c r="D119" s="1121"/>
      <c r="E119" s="1121"/>
      <c r="F119" s="1121"/>
      <c r="G119" s="1121"/>
    </row>
    <row r="120" spans="2:18" ht="27.6" x14ac:dyDescent="0.25">
      <c r="C120" s="148" t="s">
        <v>454</v>
      </c>
    </row>
  </sheetData>
  <mergeCells count="25">
    <mergeCell ref="B75:B77"/>
    <mergeCell ref="C75:C77"/>
    <mergeCell ref="M75:Q75"/>
    <mergeCell ref="R75:R76"/>
    <mergeCell ref="C119:G119"/>
    <mergeCell ref="D79:Q117"/>
    <mergeCell ref="C70:G70"/>
    <mergeCell ref="G75:I75"/>
    <mergeCell ref="J75:L75"/>
    <mergeCell ref="D75:F75"/>
    <mergeCell ref="R8:R9"/>
    <mergeCell ref="R28:R29"/>
    <mergeCell ref="C71:F71"/>
    <mergeCell ref="B28:B29"/>
    <mergeCell ref="C28:C29"/>
    <mergeCell ref="G28:I28"/>
    <mergeCell ref="J28:L28"/>
    <mergeCell ref="M28:Q28"/>
    <mergeCell ref="D28:F28"/>
    <mergeCell ref="B8:B9"/>
    <mergeCell ref="C8:C9"/>
    <mergeCell ref="G8:I8"/>
    <mergeCell ref="J8:L8"/>
    <mergeCell ref="M8:Q8"/>
    <mergeCell ref="D8:F8"/>
  </mergeCells>
  <pageMargins left="0.35433070866141736" right="0.23622047244094491" top="0.39370078740157483" bottom="0.35433070866141736" header="0.23622047244094491" footer="0.23622047244094491"/>
  <pageSetup paperSize="9" scale="54" orientation="landscape" r:id="rId1"/>
  <headerFooter alignWithMargins="0"/>
  <rowBreaks count="1" manualBreakCount="1">
    <brk id="71" min="1" max="17"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O45"/>
  <sheetViews>
    <sheetView showGridLines="0" view="pageBreakPreview" zoomScale="72" zoomScaleNormal="75" zoomScaleSheetLayoutView="70" workbookViewId="0">
      <selection activeCell="F28" sqref="F28"/>
    </sheetView>
  </sheetViews>
  <sheetFormatPr defaultColWidth="9.33203125" defaultRowHeight="13.8" x14ac:dyDescent="0.25"/>
  <cols>
    <col min="1" max="1" width="6.6640625" style="19" customWidth="1"/>
    <col min="2" max="2" width="7" style="19" customWidth="1"/>
    <col min="3" max="3" width="96.6640625" style="19" customWidth="1"/>
    <col min="4" max="6" width="14.44140625" style="19" customWidth="1"/>
    <col min="7" max="7" width="17.5546875" style="19" customWidth="1"/>
    <col min="8" max="8" width="16.6640625" style="19" customWidth="1"/>
    <col min="9" max="9" width="15" style="19" customWidth="1"/>
    <col min="10" max="10" width="17.44140625" style="19" customWidth="1"/>
    <col min="11" max="11" width="16.5546875" style="19" customWidth="1"/>
    <col min="12" max="14" width="18.6640625" style="19" customWidth="1"/>
    <col min="15" max="16384" width="9.33203125" style="19"/>
  </cols>
  <sheetData>
    <row r="2" spans="2:12" x14ac:dyDescent="0.25">
      <c r="D2" s="299" t="str">
        <f>Index!B2</f>
        <v>JAIGAD POWER TRANSCO LIMITED (JPTL)</v>
      </c>
      <c r="E2" s="299"/>
      <c r="F2" s="299"/>
      <c r="G2" s="20"/>
      <c r="H2" s="20"/>
      <c r="I2" s="20"/>
      <c r="J2" s="20"/>
      <c r="K2" s="20"/>
    </row>
    <row r="3" spans="2:12" s="21" customFormat="1" x14ac:dyDescent="0.25">
      <c r="D3" s="142" t="s">
        <v>0</v>
      </c>
      <c r="E3" s="142"/>
      <c r="F3" s="142"/>
      <c r="G3" s="22"/>
      <c r="H3" s="22"/>
      <c r="I3" s="22"/>
      <c r="J3" s="22"/>
      <c r="K3" s="22"/>
    </row>
    <row r="4" spans="2:12" s="21" customFormat="1" x14ac:dyDescent="0.25">
      <c r="D4" s="52" t="s">
        <v>456</v>
      </c>
      <c r="E4" s="52"/>
      <c r="F4" s="52"/>
      <c r="G4" s="22"/>
      <c r="H4" s="69"/>
      <c r="I4" s="69"/>
      <c r="J4" s="22"/>
      <c r="K4" s="22"/>
    </row>
    <row r="5" spans="2:12" x14ac:dyDescent="0.25">
      <c r="C5" s="25"/>
    </row>
    <row r="6" spans="2:12" x14ac:dyDescent="0.25">
      <c r="C6" s="25"/>
    </row>
    <row r="7" spans="2:12" x14ac:dyDescent="0.25">
      <c r="C7" s="25" t="s">
        <v>457</v>
      </c>
    </row>
    <row r="8" spans="2:12" x14ac:dyDescent="0.25">
      <c r="C8" s="25"/>
    </row>
    <row r="9" spans="2:12" x14ac:dyDescent="0.25">
      <c r="D9" s="119"/>
      <c r="E9" s="119"/>
      <c r="F9" s="119"/>
      <c r="G9" s="119"/>
      <c r="I9" s="119"/>
      <c r="J9" s="24" t="s">
        <v>73</v>
      </c>
    </row>
    <row r="10" spans="2:12" ht="24.6" customHeight="1" x14ac:dyDescent="0.25">
      <c r="B10" s="1047" t="s">
        <v>424</v>
      </c>
      <c r="C10" s="1047" t="s">
        <v>74</v>
      </c>
      <c r="D10" s="1050" t="s">
        <v>458</v>
      </c>
      <c r="E10" s="945" t="s">
        <v>75</v>
      </c>
      <c r="F10" s="947"/>
      <c r="G10" s="945" t="s">
        <v>76</v>
      </c>
      <c r="H10" s="947"/>
      <c r="I10" s="945" t="s">
        <v>77</v>
      </c>
      <c r="J10" s="947"/>
    </row>
    <row r="11" spans="2:12" ht="34.950000000000003" customHeight="1" x14ac:dyDescent="0.25">
      <c r="B11" s="1049"/>
      <c r="C11" s="1049"/>
      <c r="D11" s="1137"/>
      <c r="E11" s="553" t="s">
        <v>80</v>
      </c>
      <c r="F11" s="554" t="s">
        <v>459</v>
      </c>
      <c r="G11" s="553" t="s">
        <v>80</v>
      </c>
      <c r="H11" s="554" t="s">
        <v>459</v>
      </c>
      <c r="I11" s="553" t="s">
        <v>80</v>
      </c>
      <c r="J11" s="554" t="s">
        <v>459</v>
      </c>
      <c r="K11" s="555"/>
      <c r="L11" s="555"/>
    </row>
    <row r="12" spans="2:12" x14ac:dyDescent="0.25">
      <c r="B12" s="124">
        <v>1</v>
      </c>
      <c r="C12" s="143" t="s">
        <v>460</v>
      </c>
      <c r="D12" s="543"/>
      <c r="E12" s="543">
        <f>(+'F1 '!E10+'F1 '!E11)/12</f>
        <v>0.44955000000000006</v>
      </c>
      <c r="F12" s="543">
        <f>(+'F2'!F9+'F2'!D27)/12</f>
        <v>0.45210915583333328</v>
      </c>
      <c r="G12" s="544">
        <f>(+'F1 '!H10+'F1 '!H11)/12</f>
        <v>0.47071666666666667</v>
      </c>
      <c r="H12" s="545">
        <f>(+'F2'!I9+'F2'!E27)/12</f>
        <v>0.43509291666666666</v>
      </c>
      <c r="I12" s="545">
        <f>(+'F1 '!K10+'F1 '!K11)/12</f>
        <v>0.46645000000000003</v>
      </c>
      <c r="J12" s="545">
        <f>(+'F2'!N9+'F2'!F27)/12</f>
        <v>0.48696538766666669</v>
      </c>
      <c r="K12" s="555"/>
      <c r="L12" s="555"/>
    </row>
    <row r="13" spans="2:12" x14ac:dyDescent="0.25">
      <c r="B13" s="124">
        <f>B12+1</f>
        <v>2</v>
      </c>
      <c r="C13" s="13" t="s">
        <v>461</v>
      </c>
      <c r="D13" s="543"/>
      <c r="E13" s="543">
        <v>5.52</v>
      </c>
      <c r="F13" s="543">
        <f>+'F4 '!D23*1%</f>
        <v>5.5172765910000008</v>
      </c>
      <c r="G13" s="544">
        <v>5.55</v>
      </c>
      <c r="H13" s="545">
        <f>+'F4 '!H23*1%</f>
        <v>5.5670760360300005</v>
      </c>
      <c r="I13" s="545">
        <v>5.55</v>
      </c>
      <c r="J13" s="545">
        <f>+'F4 '!L23*1%</f>
        <v>5.5719071059099994</v>
      </c>
      <c r="K13" s="555"/>
      <c r="L13" s="555"/>
    </row>
    <row r="14" spans="2:12" x14ac:dyDescent="0.25">
      <c r="B14" s="124">
        <f t="shared" ref="B14:B18" si="0">B13+1</f>
        <v>3</v>
      </c>
      <c r="C14" s="13" t="s">
        <v>462</v>
      </c>
      <c r="D14" s="543"/>
      <c r="E14" s="543">
        <f>+'F11'!D14/12*1.5</f>
        <v>8.5150000000000006</v>
      </c>
      <c r="F14" s="543">
        <f>+'F11'!E14/12*1.5</f>
        <v>8.5102876500000004</v>
      </c>
      <c r="G14" s="545">
        <f ca="1">+'F11'!G14/12*1.5</f>
        <v>8.3170389886787675</v>
      </c>
      <c r="H14" s="545">
        <f>+'F11'!H14*1.5/12</f>
        <v>8.4589826875000007</v>
      </c>
      <c r="I14" s="545">
        <f ca="1">+'F11'!J14/12*1.5</f>
        <v>8.0352115014863053</v>
      </c>
      <c r="J14" s="545">
        <f ca="1">+'F11'!M14*1.5/12</f>
        <v>8.0352115014863053</v>
      </c>
      <c r="K14" s="555"/>
      <c r="L14" s="555"/>
    </row>
    <row r="15" spans="2:12" x14ac:dyDescent="0.25">
      <c r="B15" s="124">
        <f t="shared" si="0"/>
        <v>4</v>
      </c>
      <c r="C15" s="143" t="s">
        <v>463</v>
      </c>
      <c r="D15" s="546"/>
      <c r="E15" s="546"/>
      <c r="F15" s="546"/>
      <c r="G15" s="546"/>
      <c r="H15" s="546"/>
      <c r="I15" s="546"/>
      <c r="J15" s="546"/>
      <c r="K15" s="555"/>
      <c r="L15" s="555"/>
    </row>
    <row r="16" spans="2:12" x14ac:dyDescent="0.25">
      <c r="B16" s="124">
        <f t="shared" si="0"/>
        <v>5</v>
      </c>
      <c r="C16" s="405" t="s">
        <v>464</v>
      </c>
      <c r="D16" s="163"/>
      <c r="E16" s="546">
        <f>SUM(E12:E15)</f>
        <v>14.48455</v>
      </c>
      <c r="F16" s="546">
        <f t="shared" ref="F16:J16" si="1">SUM(F12:F15)</f>
        <v>14.479673396833334</v>
      </c>
      <c r="G16" s="546">
        <f t="shared" ca="1" si="1"/>
        <v>14.337755655345434</v>
      </c>
      <c r="H16" s="546">
        <f t="shared" si="1"/>
        <v>14.461151640196668</v>
      </c>
      <c r="I16" s="546">
        <f t="shared" ca="1" si="1"/>
        <v>14.051661501486304</v>
      </c>
      <c r="J16" s="546">
        <f t="shared" ca="1" si="1"/>
        <v>14.09408399506297</v>
      </c>
      <c r="K16" s="555"/>
      <c r="L16" s="555"/>
    </row>
    <row r="17" spans="2:15" s="21" customFormat="1" ht="17.25" customHeight="1" x14ac:dyDescent="0.25">
      <c r="B17" s="124">
        <f t="shared" si="0"/>
        <v>6</v>
      </c>
      <c r="C17" s="143" t="s">
        <v>465</v>
      </c>
      <c r="D17" s="164"/>
      <c r="E17" s="547">
        <v>9.4500000000000001E-2</v>
      </c>
      <c r="F17" s="547">
        <f>+Assum!D8</f>
        <v>9.2987671232876712E-2</v>
      </c>
      <c r="G17" s="547">
        <v>9.4500000000000001E-2</v>
      </c>
      <c r="H17" s="549">
        <f>+Assum!E8</f>
        <v>0.10065163934426231</v>
      </c>
      <c r="I17" s="547">
        <v>9.4500000000000001E-2</v>
      </c>
      <c r="J17" s="549">
        <f>+Assum!F8</f>
        <v>0.1045</v>
      </c>
      <c r="K17" s="144"/>
      <c r="L17" s="144"/>
      <c r="M17" s="144"/>
      <c r="N17" s="144"/>
      <c r="O17" s="144"/>
    </row>
    <row r="18" spans="2:15" s="21" customFormat="1" x14ac:dyDescent="0.25">
      <c r="B18" s="124">
        <f t="shared" si="0"/>
        <v>7</v>
      </c>
      <c r="C18" s="166" t="s">
        <v>466</v>
      </c>
      <c r="D18" s="164"/>
      <c r="E18" s="548">
        <f>+E16*E17</f>
        <v>1.3687899750000001</v>
      </c>
      <c r="F18" s="548">
        <f t="shared" ref="F18:J18" si="2">+F16*F17</f>
        <v>1.3464311093841692</v>
      </c>
      <c r="G18" s="548">
        <f t="shared" ca="1" si="2"/>
        <v>1.3549179094301436</v>
      </c>
      <c r="H18" s="548">
        <f t="shared" si="2"/>
        <v>1.4555386193917625</v>
      </c>
      <c r="I18" s="548">
        <f ca="1">+I16*I17</f>
        <v>1.3278820118904557</v>
      </c>
      <c r="J18" s="548">
        <f t="shared" ca="1" si="2"/>
        <v>1.4728317774840802</v>
      </c>
      <c r="K18" s="144"/>
      <c r="L18" s="144"/>
      <c r="M18" s="144"/>
      <c r="N18" s="144"/>
      <c r="O18" s="144"/>
    </row>
    <row r="19" spans="2:15" s="21" customFormat="1" x14ac:dyDescent="0.25">
      <c r="B19" s="165"/>
      <c r="C19" s="166"/>
      <c r="D19" s="164"/>
      <c r="E19" s="164"/>
      <c r="F19" s="164"/>
      <c r="G19" s="161"/>
      <c r="H19" s="161"/>
      <c r="I19" s="161"/>
      <c r="J19" s="161"/>
      <c r="K19" s="144"/>
      <c r="L19" s="144"/>
      <c r="M19" s="144"/>
      <c r="N19" s="144"/>
      <c r="O19" s="144"/>
    </row>
    <row r="20" spans="2:15" s="21" customFormat="1" x14ac:dyDescent="0.25">
      <c r="B20" s="165">
        <v>8</v>
      </c>
      <c r="C20" s="166" t="s">
        <v>467</v>
      </c>
      <c r="D20" s="164"/>
      <c r="E20" s="164"/>
      <c r="F20" s="862">
        <f>+Sharing!D6</f>
        <v>1.0287229579999999</v>
      </c>
      <c r="G20" s="161"/>
      <c r="H20" s="863">
        <f>+Sharing!D11</f>
        <v>0.76717030499999994</v>
      </c>
      <c r="I20" s="161"/>
      <c r="J20" s="161"/>
      <c r="K20" s="144"/>
      <c r="L20" s="144"/>
      <c r="M20" s="144"/>
      <c r="N20" s="144"/>
      <c r="O20" s="144"/>
    </row>
    <row r="21" spans="2:15" x14ac:dyDescent="0.25">
      <c r="B21" s="124"/>
      <c r="C21" s="406"/>
      <c r="D21" s="164"/>
      <c r="E21" s="164"/>
      <c r="F21" s="164"/>
      <c r="G21" s="161"/>
      <c r="H21" s="162"/>
      <c r="I21" s="162"/>
      <c r="J21" s="162"/>
    </row>
    <row r="22" spans="2:15" x14ac:dyDescent="0.25">
      <c r="B22" s="407">
        <v>9</v>
      </c>
      <c r="C22" s="405" t="s">
        <v>468</v>
      </c>
      <c r="D22" s="164"/>
      <c r="E22" s="164"/>
      <c r="F22" s="164"/>
      <c r="G22" s="161"/>
      <c r="H22" s="162"/>
      <c r="I22" s="162"/>
      <c r="J22" s="162"/>
    </row>
    <row r="23" spans="2:15" x14ac:dyDescent="0.25">
      <c r="B23" s="124">
        <f t="shared" ref="B23:B24" si="3">B22+1</f>
        <v>10</v>
      </c>
      <c r="C23" s="143" t="s">
        <v>465</v>
      </c>
      <c r="D23" s="164"/>
      <c r="E23" s="164"/>
      <c r="F23" s="164"/>
      <c r="G23" s="161"/>
      <c r="H23" s="162"/>
      <c r="I23" s="162"/>
      <c r="J23" s="162"/>
    </row>
    <row r="24" spans="2:15" x14ac:dyDescent="0.25">
      <c r="B24" s="124">
        <f t="shared" si="3"/>
        <v>11</v>
      </c>
      <c r="C24" s="406" t="s">
        <v>468</v>
      </c>
      <c r="D24" s="164"/>
      <c r="E24" s="164"/>
      <c r="F24" s="164"/>
      <c r="G24" s="161"/>
      <c r="H24" s="161"/>
      <c r="I24" s="161"/>
      <c r="J24" s="161"/>
    </row>
    <row r="26" spans="2:15" s="21" customFormat="1" x14ac:dyDescent="0.25">
      <c r="B26" s="159" t="s">
        <v>469</v>
      </c>
      <c r="C26" s="56"/>
      <c r="D26" s="56"/>
      <c r="E26" s="56"/>
      <c r="F26" s="56"/>
      <c r="G26" s="56"/>
      <c r="H26" s="56"/>
      <c r="I26" s="56"/>
      <c r="J26" s="56"/>
    </row>
    <row r="27" spans="2:15" s="21" customFormat="1" x14ac:dyDescent="0.25">
      <c r="B27" s="102">
        <v>1</v>
      </c>
      <c r="C27" s="56" t="s">
        <v>470</v>
      </c>
      <c r="D27" s="167"/>
      <c r="E27" s="167"/>
      <c r="F27" s="167"/>
      <c r="G27" s="167"/>
      <c r="J27" s="56"/>
    </row>
    <row r="28" spans="2:15" s="21" customFormat="1" x14ac:dyDescent="0.25">
      <c r="B28" s="102">
        <v>2</v>
      </c>
      <c r="C28" s="56" t="s">
        <v>471</v>
      </c>
      <c r="D28" s="167"/>
      <c r="E28" s="167"/>
      <c r="F28" s="167"/>
      <c r="G28" s="167"/>
      <c r="J28" s="56"/>
    </row>
    <row r="29" spans="2:15" s="21" customFormat="1" x14ac:dyDescent="0.25">
      <c r="B29" s="168"/>
      <c r="D29" s="56"/>
      <c r="E29" s="56"/>
      <c r="F29" s="56"/>
      <c r="G29" s="56"/>
      <c r="H29" s="56"/>
      <c r="I29" s="56"/>
      <c r="J29" s="56"/>
    </row>
    <row r="32" spans="2:15" x14ac:dyDescent="0.25">
      <c r="I32" s="24" t="s">
        <v>73</v>
      </c>
    </row>
    <row r="33" spans="2:9" ht="24.6" customHeight="1" x14ac:dyDescent="0.25">
      <c r="B33" s="1052" t="s">
        <v>424</v>
      </c>
      <c r="C33" s="941" t="s">
        <v>74</v>
      </c>
      <c r="D33" s="941" t="s">
        <v>458</v>
      </c>
      <c r="E33" s="1134" t="s">
        <v>78</v>
      </c>
      <c r="F33" s="1135"/>
      <c r="G33" s="1135"/>
      <c r="H33" s="1135"/>
      <c r="I33" s="1136"/>
    </row>
    <row r="34" spans="2:9" ht="24.6" customHeight="1" x14ac:dyDescent="0.25">
      <c r="B34" s="1052"/>
      <c r="C34" s="941"/>
      <c r="D34" s="941"/>
      <c r="E34" s="418" t="s">
        <v>87</v>
      </c>
      <c r="F34" s="418" t="s">
        <v>88</v>
      </c>
      <c r="G34" s="418" t="s">
        <v>89</v>
      </c>
      <c r="H34" s="418" t="s">
        <v>90</v>
      </c>
      <c r="I34" s="418" t="s">
        <v>91</v>
      </c>
    </row>
    <row r="35" spans="2:9" x14ac:dyDescent="0.25">
      <c r="B35" s="124">
        <v>1</v>
      </c>
      <c r="C35" s="143" t="s">
        <v>460</v>
      </c>
      <c r="D35" s="28"/>
      <c r="E35" s="540">
        <f>(+'F1 '!P10+'F2'!G27)/12</f>
        <v>0.48876666666666663</v>
      </c>
      <c r="F35" s="540">
        <f>(+'F1 '!Q10+'F2'!H27)/12</f>
        <v>0.48780000000000001</v>
      </c>
      <c r="G35" s="540">
        <f>(+'F1 '!R10+'F2'!I27)/12</f>
        <v>0.51101666666666667</v>
      </c>
      <c r="H35" s="540">
        <f>(+'F1 '!S10+'F2'!J27)/12</f>
        <v>0.53218333333333334</v>
      </c>
      <c r="I35" s="540">
        <f>(+'F1 '!T10+'F2'!K27)/12</f>
        <v>0.55679999999999996</v>
      </c>
    </row>
    <row r="36" spans="2:9" x14ac:dyDescent="0.25">
      <c r="B36" s="124">
        <f t="shared" ref="B36:B41" si="4">B35+1</f>
        <v>2</v>
      </c>
      <c r="C36" s="13" t="s">
        <v>461</v>
      </c>
      <c r="D36" s="28"/>
      <c r="E36" s="540">
        <f>+'F4 '!P23*1%</f>
        <v>5.5779071059099996</v>
      </c>
      <c r="F36" s="537">
        <f>+'F4 '!D39*1%</f>
        <v>5.6797821059100011</v>
      </c>
      <c r="G36" s="537">
        <f>+'F4 '!H39*1%</f>
        <v>5.6837821059100007</v>
      </c>
      <c r="H36" s="537">
        <f>+'F4 '!L39*1%</f>
        <v>5.7155821059100003</v>
      </c>
      <c r="I36" s="537">
        <f>+'F4 '!P39*1%</f>
        <v>5.7269197059100012</v>
      </c>
    </row>
    <row r="37" spans="2:9" x14ac:dyDescent="0.25">
      <c r="B37" s="124">
        <f t="shared" si="4"/>
        <v>3</v>
      </c>
      <c r="C37" s="13" t="s">
        <v>472</v>
      </c>
      <c r="D37" s="28"/>
      <c r="E37" s="540">
        <f ca="1">+'F1 '!P31/12*1.5</f>
        <v>5.9855432392224399</v>
      </c>
      <c r="F37" s="540">
        <f ca="1">+'F1 '!Q31/12*1.5</f>
        <v>5.4543179217939626</v>
      </c>
      <c r="G37" s="540">
        <f ca="1">+'F1 '!R31/12*1.5</f>
        <v>5.4279071296819517</v>
      </c>
      <c r="H37" s="540">
        <f ca="1">+'F1 '!S31/12*1.5</f>
        <v>5.4421227438221162</v>
      </c>
      <c r="I37" s="540">
        <f ca="1">+'F1 '!T31/12*1.5</f>
        <v>5.4687422081240582</v>
      </c>
    </row>
    <row r="38" spans="2:9" x14ac:dyDescent="0.25">
      <c r="B38" s="124">
        <f t="shared" si="4"/>
        <v>4</v>
      </c>
      <c r="C38" s="143" t="s">
        <v>463</v>
      </c>
      <c r="D38" s="28"/>
      <c r="E38" s="28"/>
      <c r="F38" s="26"/>
      <c r="G38" s="26"/>
      <c r="H38" s="26"/>
      <c r="I38" s="26"/>
    </row>
    <row r="39" spans="2:9" x14ac:dyDescent="0.25">
      <c r="B39" s="124">
        <f t="shared" si="4"/>
        <v>5</v>
      </c>
      <c r="C39" s="405" t="s">
        <v>464</v>
      </c>
      <c r="D39" s="28"/>
      <c r="E39" s="541">
        <f ca="1">SUM(E35:E38)</f>
        <v>12.052217011799106</v>
      </c>
      <c r="F39" s="541">
        <f t="shared" ref="F39:I39" ca="1" si="5">SUM(F35:F38)</f>
        <v>11.621900027703964</v>
      </c>
      <c r="G39" s="541">
        <f t="shared" ca="1" si="5"/>
        <v>11.62270590225862</v>
      </c>
      <c r="H39" s="541">
        <f t="shared" ca="1" si="5"/>
        <v>11.689888183065449</v>
      </c>
      <c r="I39" s="541">
        <f t="shared" ca="1" si="5"/>
        <v>11.752461914034059</v>
      </c>
    </row>
    <row r="40" spans="2:9" x14ac:dyDescent="0.25">
      <c r="B40" s="124">
        <f t="shared" si="4"/>
        <v>6</v>
      </c>
      <c r="C40" s="143" t="s">
        <v>465</v>
      </c>
      <c r="D40" s="28"/>
      <c r="E40" s="550">
        <f>+Assum!G8</f>
        <v>0.1045</v>
      </c>
      <c r="F40" s="550">
        <f>+Assum!H8</f>
        <v>0.1045</v>
      </c>
      <c r="G40" s="550">
        <f>+Assum!I8</f>
        <v>0.1045</v>
      </c>
      <c r="H40" s="550">
        <f>+Assum!J8</f>
        <v>0.1045</v>
      </c>
      <c r="I40" s="550">
        <f>+Assum!K8</f>
        <v>0.1045</v>
      </c>
    </row>
    <row r="41" spans="2:9" x14ac:dyDescent="0.25">
      <c r="B41" s="124">
        <f t="shared" si="4"/>
        <v>7</v>
      </c>
      <c r="C41" s="406" t="s">
        <v>473</v>
      </c>
      <c r="D41" s="26"/>
      <c r="E41" s="537">
        <f ca="1">+E39*E40</f>
        <v>1.2594566777330065</v>
      </c>
      <c r="F41" s="537">
        <f t="shared" ref="F41:I41" ca="1" si="6">+F39*F40</f>
        <v>1.2144885528950642</v>
      </c>
      <c r="G41" s="537">
        <f t="shared" ca="1" si="6"/>
        <v>1.2145727667860258</v>
      </c>
      <c r="H41" s="537">
        <f t="shared" ca="1" si="6"/>
        <v>1.2215933151303393</v>
      </c>
      <c r="I41" s="537">
        <f t="shared" ca="1" si="6"/>
        <v>1.2281322700165591</v>
      </c>
    </row>
    <row r="42" spans="2:9" x14ac:dyDescent="0.25">
      <c r="B42" s="124"/>
      <c r="C42" s="406"/>
      <c r="D42" s="26"/>
      <c r="E42" s="26"/>
      <c r="F42" s="26"/>
      <c r="G42" s="26"/>
      <c r="H42" s="26"/>
      <c r="I42" s="26"/>
    </row>
    <row r="43" spans="2:9" x14ac:dyDescent="0.25">
      <c r="B43" s="407">
        <v>8</v>
      </c>
      <c r="C43" s="405" t="s">
        <v>468</v>
      </c>
      <c r="D43" s="26"/>
      <c r="E43" s="26"/>
      <c r="F43" s="26"/>
      <c r="G43" s="26"/>
      <c r="H43" s="26"/>
      <c r="I43" s="26"/>
    </row>
    <row r="44" spans="2:9" x14ac:dyDescent="0.25">
      <c r="B44" s="124">
        <f t="shared" ref="B44:B45" si="7">B43+1</f>
        <v>9</v>
      </c>
      <c r="C44" s="143" t="s">
        <v>474</v>
      </c>
      <c r="D44" s="26"/>
      <c r="E44" s="26"/>
      <c r="F44" s="26"/>
      <c r="G44" s="26"/>
      <c r="H44" s="26"/>
      <c r="I44" s="26"/>
    </row>
    <row r="45" spans="2:9" x14ac:dyDescent="0.25">
      <c r="B45" s="124">
        <f t="shared" si="7"/>
        <v>10</v>
      </c>
      <c r="C45" s="406" t="s">
        <v>468</v>
      </c>
      <c r="D45" s="26"/>
      <c r="E45" s="26"/>
      <c r="F45" s="26"/>
      <c r="G45" s="26"/>
      <c r="H45" s="26"/>
      <c r="I45" s="26"/>
    </row>
  </sheetData>
  <mergeCells count="10">
    <mergeCell ref="G10:H10"/>
    <mergeCell ref="I10:J10"/>
    <mergeCell ref="E10:F10"/>
    <mergeCell ref="E33:I33"/>
    <mergeCell ref="B33:B34"/>
    <mergeCell ref="C33:C34"/>
    <mergeCell ref="D33:D34"/>
    <mergeCell ref="B10:B11"/>
    <mergeCell ref="C10:C11"/>
    <mergeCell ref="D10:D11"/>
  </mergeCells>
  <pageMargins left="0.38" right="0.23622047244094491" top="0.52" bottom="0.98425196850393704" header="0.23622047244094491" footer="0.23622047244094491"/>
  <pageSetup paperSize="9" scale="67" orientation="landscape" r:id="rId1"/>
  <headerFooter alignWithMargins="0"/>
  <colBreaks count="1" manualBreakCount="1">
    <brk id="10"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7">
    <pageSetUpPr fitToPage="1"/>
  </sheetPr>
  <dimension ref="B2:O65"/>
  <sheetViews>
    <sheetView showGridLines="0" view="pageBreakPreview" topLeftCell="A38" zoomScale="78" zoomScaleNormal="75" workbookViewId="0">
      <selection activeCell="H57" sqref="H57"/>
    </sheetView>
  </sheetViews>
  <sheetFormatPr defaultColWidth="9.33203125" defaultRowHeight="13.8" x14ac:dyDescent="0.25"/>
  <cols>
    <col min="1" max="1" width="6.33203125" style="3" customWidth="1"/>
    <col min="2" max="2" width="8.33203125" style="3" customWidth="1"/>
    <col min="3" max="3" width="63.6640625" style="3" customWidth="1"/>
    <col min="4" max="4" width="12.5546875" style="3" customWidth="1"/>
    <col min="5" max="6" width="16.6640625" style="3" customWidth="1"/>
    <col min="7" max="9" width="16.5546875" style="3" customWidth="1"/>
    <col min="10" max="11" width="15.6640625" style="3" customWidth="1"/>
    <col min="12" max="12" width="19.33203125" style="3" customWidth="1"/>
    <col min="13" max="13" width="36.5546875" style="3" bestFit="1" customWidth="1"/>
    <col min="14" max="16384" width="9.33203125" style="3"/>
  </cols>
  <sheetData>
    <row r="2" spans="2:14" x14ac:dyDescent="0.25">
      <c r="C2" s="157"/>
      <c r="D2" s="157"/>
      <c r="E2" s="157"/>
      <c r="F2" s="75" t="str">
        <f>Index!B2</f>
        <v>JAIGAD POWER TRANSCO LIMITED (JPTL)</v>
      </c>
      <c r="G2" s="157"/>
      <c r="H2" s="157"/>
      <c r="J2" s="157"/>
      <c r="K2" s="157"/>
      <c r="L2" s="157"/>
      <c r="M2" s="157"/>
      <c r="N2" s="157"/>
    </row>
    <row r="3" spans="2:14" s="1" customFormat="1" x14ac:dyDescent="0.25">
      <c r="C3" s="157"/>
      <c r="D3" s="157"/>
      <c r="E3" s="157"/>
      <c r="F3" s="70" t="s">
        <v>0</v>
      </c>
      <c r="G3" s="157"/>
      <c r="H3" s="157"/>
      <c r="J3" s="157"/>
      <c r="K3" s="157"/>
      <c r="L3" s="157"/>
      <c r="M3" s="157"/>
      <c r="N3" s="157"/>
    </row>
    <row r="4" spans="2:14" s="1" customFormat="1" x14ac:dyDescent="0.25">
      <c r="C4" s="157"/>
      <c r="D4" s="157"/>
      <c r="E4" s="157"/>
      <c r="F4" s="70" t="s">
        <v>475</v>
      </c>
      <c r="G4" s="157"/>
      <c r="H4" s="157"/>
      <c r="J4" s="157"/>
      <c r="K4" s="157"/>
      <c r="L4" s="157"/>
      <c r="M4" s="157"/>
      <c r="N4" s="157"/>
    </row>
    <row r="7" spans="2:14" x14ac:dyDescent="0.25">
      <c r="L7" s="75" t="s">
        <v>73</v>
      </c>
    </row>
    <row r="8" spans="2:14" x14ac:dyDescent="0.25">
      <c r="B8" s="941" t="s">
        <v>424</v>
      </c>
      <c r="C8" s="941" t="s">
        <v>74</v>
      </c>
      <c r="D8" s="945" t="s">
        <v>75</v>
      </c>
      <c r="E8" s="946"/>
      <c r="F8" s="947"/>
      <c r="G8" s="945" t="s">
        <v>76</v>
      </c>
      <c r="H8" s="946"/>
      <c r="I8" s="947"/>
      <c r="J8" s="945" t="s">
        <v>77</v>
      </c>
      <c r="K8" s="946"/>
      <c r="L8" s="947"/>
    </row>
    <row r="9" spans="2:14" ht="27.6" x14ac:dyDescent="0.25">
      <c r="B9" s="941"/>
      <c r="C9" s="941"/>
      <c r="D9" s="418" t="s">
        <v>80</v>
      </c>
      <c r="E9" s="418" t="s">
        <v>81</v>
      </c>
      <c r="F9" s="418" t="s">
        <v>82</v>
      </c>
      <c r="G9" s="418" t="s">
        <v>80</v>
      </c>
      <c r="H9" s="418" t="s">
        <v>81</v>
      </c>
      <c r="I9" s="418" t="s">
        <v>82</v>
      </c>
      <c r="J9" s="418" t="s">
        <v>80</v>
      </c>
      <c r="K9" s="418" t="s">
        <v>135</v>
      </c>
      <c r="L9" s="418" t="s">
        <v>86</v>
      </c>
    </row>
    <row r="10" spans="2:14" x14ac:dyDescent="0.25">
      <c r="B10" s="941"/>
      <c r="C10" s="941"/>
      <c r="D10" s="418" t="s">
        <v>92</v>
      </c>
      <c r="E10" s="418" t="s">
        <v>93</v>
      </c>
      <c r="F10" s="418" t="s">
        <v>94</v>
      </c>
      <c r="G10" s="418" t="s">
        <v>95</v>
      </c>
      <c r="H10" s="418" t="s">
        <v>96</v>
      </c>
      <c r="I10" s="418" t="s">
        <v>97</v>
      </c>
      <c r="J10" s="418" t="s">
        <v>98</v>
      </c>
      <c r="K10" s="418" t="s">
        <v>99</v>
      </c>
      <c r="L10" s="418" t="s">
        <v>427</v>
      </c>
    </row>
    <row r="11" spans="2:14" x14ac:dyDescent="0.25">
      <c r="B11" s="430">
        <v>1</v>
      </c>
      <c r="C11" s="431" t="s">
        <v>476</v>
      </c>
      <c r="D11" s="537">
        <v>138.16</v>
      </c>
      <c r="E11" s="537">
        <f>+D11</f>
        <v>138.16</v>
      </c>
      <c r="F11" s="537"/>
      <c r="G11" s="551">
        <f>+D15</f>
        <v>139.06299999999999</v>
      </c>
      <c r="H11" s="551">
        <f>+E15</f>
        <v>139.65047929089999</v>
      </c>
      <c r="I11" s="537"/>
      <c r="J11" s="551">
        <f>+G15</f>
        <v>139.24299999999999</v>
      </c>
      <c r="K11" s="551">
        <f>+H15</f>
        <v>139.7795457517</v>
      </c>
      <c r="L11" s="537"/>
    </row>
    <row r="12" spans="2:14" x14ac:dyDescent="0.25">
      <c r="B12" s="430">
        <f>B11+1</f>
        <v>2</v>
      </c>
      <c r="C12" s="431" t="s">
        <v>477</v>
      </c>
      <c r="D12" s="537">
        <v>3.01</v>
      </c>
      <c r="E12" s="537">
        <f>+'F4 '!E23</f>
        <v>4.9741044030000001</v>
      </c>
      <c r="F12" s="537"/>
      <c r="G12" s="551">
        <v>0.6</v>
      </c>
      <c r="H12" s="537">
        <f>+'F4 '!I23</f>
        <v>0.45666426200000004</v>
      </c>
      <c r="I12" s="537"/>
      <c r="J12" s="537">
        <v>3.54</v>
      </c>
      <c r="K12" s="537">
        <f>+'F4 '!M23</f>
        <v>0.6</v>
      </c>
      <c r="L12" s="537"/>
    </row>
    <row r="13" spans="2:14" x14ac:dyDescent="0.25">
      <c r="B13" s="430">
        <f t="shared" ref="B13:B15" si="0">B12+1</f>
        <v>3</v>
      </c>
      <c r="C13" s="431" t="s">
        <v>478</v>
      </c>
      <c r="D13" s="513">
        <f>+D12*30%</f>
        <v>0.90299999999999991</v>
      </c>
      <c r="E13" s="513">
        <f>+E12*Assum!D6</f>
        <v>1.4922313209000002</v>
      </c>
      <c r="F13" s="513"/>
      <c r="G13" s="513">
        <f>+G12*30%</f>
        <v>0.18</v>
      </c>
      <c r="H13" s="537">
        <f>+H12*Assum!E6</f>
        <v>0.13699927860000002</v>
      </c>
      <c r="I13" s="537"/>
      <c r="J13" s="513">
        <f>+J12*30%</f>
        <v>1.0620000000000001</v>
      </c>
      <c r="K13" s="537">
        <f>+K12*Assum!F6</f>
        <v>0.18000000000000002</v>
      </c>
      <c r="L13" s="537"/>
    </row>
    <row r="14" spans="2:14" ht="27.6" x14ac:dyDescent="0.25">
      <c r="B14" s="433">
        <f t="shared" si="0"/>
        <v>4</v>
      </c>
      <c r="C14" s="434" t="s">
        <v>479</v>
      </c>
      <c r="D14" s="513">
        <v>0</v>
      </c>
      <c r="E14" s="513">
        <f>-'F4 '!F23*Assum!D6</f>
        <v>1.7520300000000003E-3</v>
      </c>
      <c r="F14" s="513"/>
      <c r="G14" s="552"/>
      <c r="H14" s="537">
        <f>+-'F4 '!J23*Assum!E6</f>
        <v>7.9328178000000003E-3</v>
      </c>
      <c r="I14" s="537"/>
      <c r="J14" s="537"/>
      <c r="K14" s="537"/>
      <c r="L14" s="537"/>
    </row>
    <row r="15" spans="2:14" x14ac:dyDescent="0.25">
      <c r="B15" s="430">
        <f t="shared" si="0"/>
        <v>5</v>
      </c>
      <c r="C15" s="431" t="s">
        <v>480</v>
      </c>
      <c r="D15" s="562">
        <f>+D11+D13-D14</f>
        <v>139.06299999999999</v>
      </c>
      <c r="E15" s="562">
        <f t="shared" ref="E15:L15" si="1">+E11+E13-E14</f>
        <v>139.65047929089999</v>
      </c>
      <c r="F15" s="562">
        <f t="shared" si="1"/>
        <v>0</v>
      </c>
      <c r="G15" s="562">
        <f t="shared" si="1"/>
        <v>139.24299999999999</v>
      </c>
      <c r="H15" s="562">
        <f t="shared" si="1"/>
        <v>139.7795457517</v>
      </c>
      <c r="I15" s="562">
        <f t="shared" si="1"/>
        <v>0</v>
      </c>
      <c r="J15" s="562">
        <f t="shared" si="1"/>
        <v>140.30500000000001</v>
      </c>
      <c r="K15" s="562">
        <f t="shared" si="1"/>
        <v>139.95954575170001</v>
      </c>
      <c r="L15" s="562">
        <f t="shared" si="1"/>
        <v>0</v>
      </c>
    </row>
    <row r="16" spans="2:14" x14ac:dyDescent="0.25">
      <c r="B16" s="123"/>
      <c r="C16" s="122"/>
      <c r="D16" s="26"/>
      <c r="E16" s="26"/>
      <c r="F16" s="26"/>
      <c r="G16" s="135"/>
      <c r="H16" s="26"/>
      <c r="I16" s="26"/>
      <c r="J16" s="26"/>
      <c r="K16" s="26"/>
      <c r="L16" s="26"/>
    </row>
    <row r="17" spans="2:13" x14ac:dyDescent="0.25">
      <c r="B17" s="430"/>
      <c r="C17" s="435" t="s">
        <v>481</v>
      </c>
      <c r="D17" s="26"/>
      <c r="E17" s="26"/>
      <c r="F17" s="26"/>
      <c r="G17" s="135"/>
      <c r="H17" s="26"/>
      <c r="I17" s="26"/>
      <c r="J17" s="26"/>
      <c r="K17" s="26"/>
      <c r="L17" s="26"/>
    </row>
    <row r="18" spans="2:13" x14ac:dyDescent="0.25">
      <c r="B18" s="430">
        <v>6</v>
      </c>
      <c r="C18" s="431" t="s">
        <v>482</v>
      </c>
      <c r="D18" s="566">
        <v>0.14000000000000001</v>
      </c>
      <c r="E18" s="565">
        <f>Assum!D9</f>
        <v>0.14000000000000001</v>
      </c>
      <c r="F18" s="566"/>
      <c r="G18" s="566">
        <v>0.14000000000000001</v>
      </c>
      <c r="H18" s="565">
        <f>Assum!E9</f>
        <v>0.14000000000000001</v>
      </c>
      <c r="I18" s="567"/>
      <c r="J18" s="566">
        <v>0.14000000000000001</v>
      </c>
      <c r="K18" s="565">
        <f>Assum!F9</f>
        <v>0.14000000000000001</v>
      </c>
      <c r="L18" s="26"/>
    </row>
    <row r="19" spans="2:13" x14ac:dyDescent="0.25">
      <c r="B19" s="430">
        <v>7</v>
      </c>
      <c r="C19" s="431" t="s">
        <v>483</v>
      </c>
      <c r="D19" s="564">
        <v>0.16950000000000001</v>
      </c>
      <c r="E19" s="564">
        <f>E18/(1-Assum!D10)</f>
        <v>0.16963939473720333</v>
      </c>
      <c r="F19" s="107"/>
      <c r="G19" s="564">
        <v>0.16950000000000001</v>
      </c>
      <c r="H19" s="564">
        <f>H18/(1-Assum!E10)</f>
        <v>0.16963939511438544</v>
      </c>
      <c r="I19" s="26"/>
      <c r="J19" s="564">
        <v>0.16950000000000001</v>
      </c>
      <c r="K19" s="564">
        <f>K18/(1-Assum!F10)</f>
        <v>0.16963939511438544</v>
      </c>
      <c r="L19" s="26"/>
    </row>
    <row r="20" spans="2:13" x14ac:dyDescent="0.25">
      <c r="B20" s="430">
        <v>8</v>
      </c>
      <c r="C20" s="431" t="s">
        <v>484</v>
      </c>
      <c r="D20" s="513">
        <f>+D11*D19</f>
        <v>23.418120000000002</v>
      </c>
      <c r="E20" s="513">
        <f t="shared" ref="E20:K20" si="2">+E11*E19</f>
        <v>23.437378776892011</v>
      </c>
      <c r="F20" s="513"/>
      <c r="G20" s="513">
        <f>+G11*G19</f>
        <v>23.571178499999998</v>
      </c>
      <c r="H20" s="513">
        <f t="shared" si="2"/>
        <v>23.690222834342286</v>
      </c>
      <c r="I20" s="513">
        <f t="shared" si="2"/>
        <v>0</v>
      </c>
      <c r="J20" s="513">
        <f t="shared" si="2"/>
        <v>23.601688500000002</v>
      </c>
      <c r="K20" s="513">
        <f t="shared" si="2"/>
        <v>23.712117590681952</v>
      </c>
      <c r="L20" s="26"/>
    </row>
    <row r="21" spans="2:13" x14ac:dyDescent="0.25">
      <c r="B21" s="430">
        <f t="shared" ref="B21:B22" si="3">B20+1</f>
        <v>9</v>
      </c>
      <c r="C21" s="431" t="s">
        <v>485</v>
      </c>
      <c r="D21" s="513">
        <f>+D13*D19/2</f>
        <v>7.6529249999999993E-2</v>
      </c>
      <c r="E21" s="513">
        <f>(+E13-E14)*E19/2</f>
        <v>0.12642200238830603</v>
      </c>
      <c r="F21" s="107"/>
      <c r="G21" s="513">
        <f>+G13*G19/2</f>
        <v>1.5255000000000001E-2</v>
      </c>
      <c r="H21" s="513">
        <f>(+H13-H14)*H19/2</f>
        <v>1.0947378169833273E-2</v>
      </c>
      <c r="I21" s="26"/>
      <c r="J21" s="513">
        <f>+J13*J19/2</f>
        <v>9.0004500000000015E-2</v>
      </c>
      <c r="K21" s="513">
        <f>+K13*K19/2</f>
        <v>1.5267545560294691E-2</v>
      </c>
      <c r="L21" s="26"/>
    </row>
    <row r="22" spans="2:13" x14ac:dyDescent="0.25">
      <c r="B22" s="430">
        <f t="shared" si="3"/>
        <v>10</v>
      </c>
      <c r="C22" s="435" t="s">
        <v>486</v>
      </c>
      <c r="D22" s="542">
        <f>+D20+D21</f>
        <v>23.494649250000002</v>
      </c>
      <c r="E22" s="542">
        <f t="shared" ref="E22:K22" si="4">+E20+E21</f>
        <v>23.563800779280317</v>
      </c>
      <c r="F22" s="542">
        <f t="shared" si="4"/>
        <v>0</v>
      </c>
      <c r="G22" s="542">
        <f>+G20+G21-0.01</f>
        <v>23.576433499999997</v>
      </c>
      <c r="H22" s="542">
        <f t="shared" si="4"/>
        <v>23.701170212512121</v>
      </c>
      <c r="I22" s="542">
        <f t="shared" si="4"/>
        <v>0</v>
      </c>
      <c r="J22" s="542">
        <f t="shared" si="4"/>
        <v>23.691693000000001</v>
      </c>
      <c r="K22" s="542">
        <f t="shared" si="4"/>
        <v>23.727385136242248</v>
      </c>
      <c r="L22" s="26"/>
    </row>
    <row r="24" spans="2:13" ht="42" customHeight="1" x14ac:dyDescent="0.25">
      <c r="B24" s="1139" t="s">
        <v>487</v>
      </c>
      <c r="C24" s="1139"/>
      <c r="D24" s="1139"/>
      <c r="E24" s="1139"/>
      <c r="F24" s="1139"/>
      <c r="G24" s="1139"/>
      <c r="H24" s="1139"/>
      <c r="I24" s="1139"/>
      <c r="J24" s="1139"/>
      <c r="K24" s="1139"/>
    </row>
    <row r="25" spans="2:13" x14ac:dyDescent="0.25">
      <c r="B25" s="279" t="s">
        <v>488</v>
      </c>
      <c r="C25" s="279"/>
      <c r="D25" s="279"/>
      <c r="E25" s="279"/>
      <c r="F25" s="279"/>
      <c r="G25" s="279"/>
      <c r="H25" s="279"/>
      <c r="I25" s="279"/>
      <c r="J25" s="279"/>
      <c r="K25" s="279"/>
    </row>
    <row r="26" spans="2:13" x14ac:dyDescent="0.25">
      <c r="B26" s="3" t="s">
        <v>489</v>
      </c>
    </row>
    <row r="28" spans="2:13" x14ac:dyDescent="0.25">
      <c r="B28" s="279"/>
      <c r="C28" s="491" t="s">
        <v>490</v>
      </c>
      <c r="D28" s="279"/>
      <c r="E28" s="279"/>
      <c r="F28" s="279"/>
      <c r="G28" s="279"/>
      <c r="H28" s="279"/>
      <c r="I28" s="279"/>
      <c r="J28" s="279"/>
      <c r="K28" s="279"/>
      <c r="L28" s="279"/>
      <c r="M28" s="279"/>
    </row>
    <row r="29" spans="2:13" x14ac:dyDescent="0.25">
      <c r="B29" s="279"/>
      <c r="C29" s="279"/>
      <c r="D29" s="279"/>
      <c r="E29" s="279"/>
      <c r="F29" s="279"/>
      <c r="G29" s="279"/>
      <c r="H29" s="279"/>
      <c r="I29" s="279"/>
      <c r="J29" s="279"/>
      <c r="K29" s="279"/>
      <c r="L29" s="279"/>
      <c r="M29" s="279"/>
    </row>
    <row r="30" spans="2:13" x14ac:dyDescent="0.25">
      <c r="B30" s="1034" t="s">
        <v>1</v>
      </c>
      <c r="C30" s="1037" t="s">
        <v>74</v>
      </c>
      <c r="D30" s="1141" t="s">
        <v>491</v>
      </c>
      <c r="E30" s="419" t="s">
        <v>75</v>
      </c>
      <c r="F30" s="418" t="s">
        <v>76</v>
      </c>
      <c r="G30" s="279"/>
      <c r="H30" s="279"/>
      <c r="I30" s="279"/>
      <c r="J30" s="279"/>
      <c r="K30" s="279"/>
      <c r="L30" s="279"/>
      <c r="M30" s="279"/>
    </row>
    <row r="31" spans="2:13" ht="27.6" x14ac:dyDescent="0.25">
      <c r="B31" s="1035"/>
      <c r="C31" s="1037"/>
      <c r="D31" s="1142"/>
      <c r="E31" s="418" t="s">
        <v>81</v>
      </c>
      <c r="F31" s="418" t="s">
        <v>81</v>
      </c>
      <c r="G31" s="279"/>
      <c r="H31" s="279"/>
      <c r="I31" s="279"/>
      <c r="J31" s="279"/>
      <c r="K31" s="279"/>
      <c r="L31" s="279"/>
      <c r="M31" s="279"/>
    </row>
    <row r="32" spans="2:13" x14ac:dyDescent="0.25">
      <c r="B32" s="437">
        <v>1</v>
      </c>
      <c r="C32" s="431" t="s">
        <v>492</v>
      </c>
      <c r="D32" s="430" t="s">
        <v>493</v>
      </c>
      <c r="E32" s="568">
        <f>+Availability!D7</f>
        <v>0.99619999999999997</v>
      </c>
      <c r="F32" s="568">
        <f>+Availability!E7</f>
        <v>0.99790000000000001</v>
      </c>
      <c r="G32" s="279"/>
      <c r="H32" s="279"/>
      <c r="I32" s="279"/>
      <c r="J32" s="279"/>
      <c r="K32" s="279"/>
      <c r="L32" s="279"/>
      <c r="M32" s="279"/>
    </row>
    <row r="33" spans="2:15" x14ac:dyDescent="0.25">
      <c r="B33" s="430">
        <f>B32+1</f>
        <v>2</v>
      </c>
      <c r="C33" s="431" t="s">
        <v>494</v>
      </c>
      <c r="D33" s="430" t="s">
        <v>493</v>
      </c>
      <c r="E33" s="568">
        <f>+Availability!D10</f>
        <v>1.1099999999999936E-2</v>
      </c>
      <c r="F33" s="568">
        <f>+Availability!E10</f>
        <v>1.4999999999999999E-2</v>
      </c>
      <c r="G33" s="279"/>
      <c r="H33" s="279"/>
      <c r="I33" s="279"/>
      <c r="J33" s="279"/>
      <c r="K33" s="279"/>
      <c r="L33" s="279"/>
      <c r="M33" s="279"/>
    </row>
    <row r="34" spans="2:15" x14ac:dyDescent="0.25">
      <c r="B34" s="430"/>
      <c r="C34" s="431"/>
      <c r="D34" s="431"/>
      <c r="E34" s="432"/>
      <c r="F34" s="432"/>
      <c r="G34" s="279"/>
      <c r="H34" s="279"/>
      <c r="I34" s="279"/>
      <c r="J34" s="279"/>
      <c r="K34" s="279"/>
      <c r="L34" s="279"/>
      <c r="M34" s="279"/>
    </row>
    <row r="35" spans="2:15" x14ac:dyDescent="0.25">
      <c r="B35" s="430"/>
      <c r="C35" s="435" t="s">
        <v>495</v>
      </c>
      <c r="D35" s="431"/>
      <c r="E35" s="432"/>
      <c r="F35" s="432"/>
      <c r="G35" s="279"/>
      <c r="H35" s="279"/>
      <c r="I35" s="279"/>
      <c r="J35" s="279"/>
      <c r="K35" s="279"/>
      <c r="L35" s="279"/>
      <c r="M35" s="279"/>
    </row>
    <row r="36" spans="2:15" x14ac:dyDescent="0.25">
      <c r="B36" s="430">
        <v>3</v>
      </c>
      <c r="C36" s="431" t="s">
        <v>496</v>
      </c>
      <c r="D36" s="430" t="s">
        <v>497</v>
      </c>
      <c r="E36" s="537">
        <f>+E11*E33/(1-'F9'!E9)</f>
        <v>1.8582493173107129</v>
      </c>
      <c r="F36" s="537">
        <f>+H11*F33/(1-'F9'!F9)</f>
        <v>2.5382381608223876</v>
      </c>
      <c r="G36" s="279"/>
      <c r="H36" s="279"/>
      <c r="I36" s="279"/>
      <c r="J36" s="279"/>
      <c r="K36" s="279"/>
      <c r="L36" s="279"/>
      <c r="M36" s="279"/>
    </row>
    <row r="37" spans="2:15" x14ac:dyDescent="0.25">
      <c r="B37" s="430">
        <v>4</v>
      </c>
      <c r="C37" s="431" t="s">
        <v>498</v>
      </c>
      <c r="D37" s="430" t="s">
        <v>497</v>
      </c>
      <c r="E37" s="537">
        <f>(+E13-E14)*E33/(1-'F9'!E9)</f>
        <v>2.0046917521574122E-2</v>
      </c>
      <c r="F37" s="537">
        <f>(+H13-H14)*F33/(1-'F9'!F9)</f>
        <v>2.3458667506785582E-3</v>
      </c>
      <c r="G37" s="279"/>
      <c r="H37" s="279"/>
      <c r="I37" s="279"/>
      <c r="J37" s="279"/>
      <c r="K37" s="279"/>
      <c r="L37" s="279"/>
      <c r="M37" s="279"/>
    </row>
    <row r="38" spans="2:15" x14ac:dyDescent="0.25">
      <c r="B38" s="492">
        <v>5</v>
      </c>
      <c r="C38" s="435" t="s">
        <v>499</v>
      </c>
      <c r="D38" s="435"/>
      <c r="E38" s="542">
        <f>+E36+E37</f>
        <v>1.8782962348322869</v>
      </c>
      <c r="F38" s="542">
        <f>+F36+F37</f>
        <v>2.540584027573066</v>
      </c>
      <c r="G38" s="279"/>
      <c r="H38" s="279"/>
      <c r="I38" s="279"/>
      <c r="J38" s="279"/>
      <c r="K38" s="279"/>
      <c r="L38" s="279"/>
      <c r="M38" s="279"/>
    </row>
    <row r="39" spans="2:15" x14ac:dyDescent="0.25">
      <c r="B39" s="279"/>
      <c r="C39" s="279"/>
      <c r="D39" s="279"/>
      <c r="E39" s="279"/>
      <c r="F39" s="279"/>
      <c r="G39" s="279"/>
      <c r="H39" s="279"/>
      <c r="I39" s="279"/>
      <c r="J39" s="279"/>
      <c r="K39" s="279"/>
      <c r="L39" s="279"/>
      <c r="M39" s="279"/>
    </row>
    <row r="40" spans="2:15" x14ac:dyDescent="0.25">
      <c r="B40" s="279"/>
      <c r="C40" s="1139" t="s">
        <v>500</v>
      </c>
      <c r="D40" s="1139"/>
      <c r="E40" s="1139"/>
      <c r="F40" s="1139"/>
      <c r="G40" s="1139"/>
      <c r="H40" s="1139"/>
      <c r="I40" s="1139"/>
      <c r="J40" s="1139"/>
      <c r="K40" s="1139"/>
      <c r="L40" s="1139"/>
      <c r="M40" s="1139"/>
    </row>
    <row r="42" spans="2:15" ht="15.6" x14ac:dyDescent="0.25">
      <c r="B42" s="1138" t="str">
        <f>Index!B2</f>
        <v>JAIGAD POWER TRANSCO LIMITED (JPTL)</v>
      </c>
      <c r="C42" s="1138"/>
      <c r="D42" s="1138"/>
      <c r="E42" s="1138"/>
      <c r="F42" s="1138"/>
      <c r="G42" s="1138"/>
      <c r="H42" s="1138"/>
      <c r="I42" s="1138"/>
      <c r="J42" s="510"/>
      <c r="K42" s="510"/>
      <c r="L42" s="510"/>
    </row>
    <row r="43" spans="2:15" ht="15.6" customHeight="1" x14ac:dyDescent="0.25">
      <c r="B43" s="1138" t="s">
        <v>0</v>
      </c>
      <c r="C43" s="1138"/>
      <c r="D43" s="1138"/>
      <c r="E43" s="1138"/>
      <c r="F43" s="1138"/>
      <c r="G43" s="1138"/>
      <c r="H43" s="1138"/>
      <c r="I43" s="1138"/>
      <c r="J43" s="510"/>
      <c r="K43" s="510"/>
      <c r="L43" s="510"/>
    </row>
    <row r="44" spans="2:15" ht="15.6" customHeight="1" x14ac:dyDescent="0.25">
      <c r="B44" s="1138" t="s">
        <v>768</v>
      </c>
      <c r="C44" s="1138"/>
      <c r="D44" s="1138"/>
      <c r="E44" s="1138"/>
      <c r="F44" s="1138"/>
      <c r="G44" s="1138"/>
      <c r="H44" s="1138"/>
      <c r="I44" s="1138"/>
      <c r="J44" s="510"/>
      <c r="K44" s="510"/>
      <c r="L44" s="510"/>
    </row>
    <row r="45" spans="2:15" x14ac:dyDescent="0.25">
      <c r="B45" s="279"/>
      <c r="C45" s="279"/>
      <c r="D45" s="279"/>
      <c r="E45" s="279"/>
      <c r="F45" s="279"/>
      <c r="G45" s="279"/>
      <c r="H45" s="279"/>
      <c r="I45" s="279"/>
      <c r="J45" s="279"/>
      <c r="K45" s="279"/>
      <c r="L45" s="279"/>
    </row>
    <row r="46" spans="2:15" x14ac:dyDescent="0.25">
      <c r="B46" s="279"/>
      <c r="C46" s="279"/>
      <c r="D46" s="279"/>
      <c r="E46" s="279"/>
      <c r="F46" s="279"/>
      <c r="G46" s="279"/>
      <c r="H46" s="208" t="s">
        <v>73</v>
      </c>
      <c r="I46" s="279"/>
      <c r="J46" s="279"/>
      <c r="K46" s="279"/>
      <c r="L46" s="279"/>
    </row>
    <row r="47" spans="2:15" ht="14.1" customHeight="1" x14ac:dyDescent="0.25">
      <c r="B47" s="1034" t="s">
        <v>424</v>
      </c>
      <c r="C47" s="1034" t="s">
        <v>74</v>
      </c>
      <c r="D47" s="945" t="s">
        <v>426</v>
      </c>
      <c r="E47" s="946"/>
      <c r="F47" s="946"/>
      <c r="G47" s="946"/>
      <c r="H47" s="947"/>
      <c r="I47" s="1034" t="s">
        <v>79</v>
      </c>
      <c r="J47" s="279"/>
      <c r="K47" s="279"/>
      <c r="L47" s="279"/>
      <c r="M47" s="279"/>
      <c r="N47" s="279"/>
      <c r="O47" s="279"/>
    </row>
    <row r="48" spans="2:15" x14ac:dyDescent="0.25">
      <c r="B48" s="1035"/>
      <c r="C48" s="1035"/>
      <c r="D48" s="418" t="s">
        <v>87</v>
      </c>
      <c r="E48" s="418" t="s">
        <v>88</v>
      </c>
      <c r="F48" s="418" t="s">
        <v>89</v>
      </c>
      <c r="G48" s="418" t="s">
        <v>90</v>
      </c>
      <c r="H48" s="418" t="s">
        <v>91</v>
      </c>
      <c r="I48" s="1035"/>
      <c r="J48" s="279"/>
      <c r="K48" s="279"/>
      <c r="L48" s="279"/>
      <c r="M48" s="279"/>
      <c r="N48" s="279"/>
      <c r="O48" s="279"/>
    </row>
    <row r="49" spans="2:15" x14ac:dyDescent="0.25">
      <c r="B49" s="1122"/>
      <c r="C49" s="1122"/>
      <c r="D49" s="418" t="s">
        <v>103</v>
      </c>
      <c r="E49" s="418" t="s">
        <v>103</v>
      </c>
      <c r="F49" s="418" t="s">
        <v>103</v>
      </c>
      <c r="G49" s="418" t="s">
        <v>103</v>
      </c>
      <c r="H49" s="418" t="s">
        <v>103</v>
      </c>
      <c r="I49" s="1122"/>
      <c r="J49" s="279"/>
      <c r="K49" s="279"/>
      <c r="L49" s="279"/>
      <c r="M49" s="279"/>
      <c r="N49" s="279"/>
      <c r="O49" s="279"/>
    </row>
    <row r="50" spans="2:15" x14ac:dyDescent="0.25">
      <c r="B50" s="430">
        <v>1</v>
      </c>
      <c r="C50" s="431" t="s">
        <v>501</v>
      </c>
      <c r="D50" s="563">
        <f>+K15</f>
        <v>139.95954575170001</v>
      </c>
      <c r="E50" s="563">
        <f>+D54</f>
        <v>143.01579575170001</v>
      </c>
      <c r="F50" s="563">
        <f t="shared" ref="F50:H50" si="5">+E54</f>
        <v>143.13579575170002</v>
      </c>
      <c r="G50" s="563">
        <f t="shared" si="5"/>
        <v>144.08979575170002</v>
      </c>
      <c r="H50" s="563">
        <f t="shared" si="5"/>
        <v>144.42992375170002</v>
      </c>
      <c r="I50" s="432"/>
      <c r="J50" s="279"/>
      <c r="K50" s="279"/>
      <c r="L50" s="279"/>
      <c r="M50" s="279"/>
      <c r="N50" s="279"/>
      <c r="O50" s="279"/>
    </row>
    <row r="51" spans="2:15" x14ac:dyDescent="0.25">
      <c r="B51" s="430">
        <f>B50+1</f>
        <v>2</v>
      </c>
      <c r="C51" s="431" t="s">
        <v>502</v>
      </c>
      <c r="D51" s="563">
        <f>+'F4 '!Q23</f>
        <v>10.1875</v>
      </c>
      <c r="E51" s="563">
        <f>+'F4 '!E39</f>
        <v>0.4</v>
      </c>
      <c r="F51" s="563">
        <f>+'F4 '!I39</f>
        <v>3.18</v>
      </c>
      <c r="G51" s="563">
        <f>+'F4 '!M39</f>
        <v>1.1337600000000001</v>
      </c>
      <c r="H51" s="563">
        <f>+'F4 '!Q39</f>
        <v>0</v>
      </c>
      <c r="I51" s="432"/>
      <c r="J51" s="279"/>
      <c r="K51" s="279"/>
      <c r="L51" s="279"/>
      <c r="M51" s="279"/>
      <c r="N51" s="279"/>
      <c r="O51" s="279"/>
    </row>
    <row r="52" spans="2:15" x14ac:dyDescent="0.25">
      <c r="B52" s="430">
        <f t="shared" ref="B52:B61" si="6">B51+1</f>
        <v>3</v>
      </c>
      <c r="C52" s="431" t="s">
        <v>478</v>
      </c>
      <c r="D52" s="537">
        <f>+D51*Assum!G6</f>
        <v>3.0562500000000004</v>
      </c>
      <c r="E52" s="537">
        <f>+E51*Assum!H6</f>
        <v>0.12000000000000002</v>
      </c>
      <c r="F52" s="537">
        <f>+F51*Assum!I6</f>
        <v>0.95400000000000018</v>
      </c>
      <c r="G52" s="537">
        <f>+G51*Assum!J6</f>
        <v>0.3401280000000001</v>
      </c>
      <c r="H52" s="537">
        <f>+H51*Assum!K6</f>
        <v>0</v>
      </c>
      <c r="I52" s="432"/>
      <c r="J52" s="279"/>
      <c r="K52" s="279"/>
      <c r="L52" s="279"/>
      <c r="M52" s="279"/>
      <c r="N52" s="279"/>
      <c r="O52" s="279"/>
    </row>
    <row r="53" spans="2:15" ht="27.6" x14ac:dyDescent="0.25">
      <c r="B53" s="433">
        <f t="shared" si="6"/>
        <v>4</v>
      </c>
      <c r="C53" s="434" t="s">
        <v>479</v>
      </c>
      <c r="D53" s="432"/>
      <c r="E53" s="432"/>
      <c r="F53" s="432"/>
      <c r="G53" s="432"/>
      <c r="H53" s="432"/>
      <c r="I53" s="432"/>
      <c r="J53" s="279"/>
      <c r="K53" s="279"/>
      <c r="L53" s="279"/>
      <c r="M53" s="279"/>
      <c r="N53" s="279"/>
      <c r="O53" s="279"/>
    </row>
    <row r="54" spans="2:15" x14ac:dyDescent="0.25">
      <c r="B54" s="430">
        <f t="shared" si="6"/>
        <v>5</v>
      </c>
      <c r="C54" s="431" t="s">
        <v>480</v>
      </c>
      <c r="D54" s="562">
        <f>+D50+D52-D53</f>
        <v>143.01579575170001</v>
      </c>
      <c r="E54" s="562">
        <f t="shared" ref="E54:H54" si="7">+E50+E52-E53</f>
        <v>143.13579575170002</v>
      </c>
      <c r="F54" s="562">
        <f t="shared" si="7"/>
        <v>144.08979575170002</v>
      </c>
      <c r="G54" s="562">
        <f t="shared" si="7"/>
        <v>144.42992375170002</v>
      </c>
      <c r="H54" s="562">
        <f t="shared" si="7"/>
        <v>144.42992375170002</v>
      </c>
      <c r="I54" s="432"/>
      <c r="J54" s="279"/>
      <c r="K54" s="279"/>
      <c r="L54" s="279"/>
      <c r="M54" s="279"/>
      <c r="N54" s="279"/>
      <c r="O54" s="279"/>
    </row>
    <row r="55" spans="2:15" x14ac:dyDescent="0.25">
      <c r="B55" s="430"/>
      <c r="C55" s="431"/>
      <c r="D55" s="432"/>
      <c r="E55" s="432"/>
      <c r="F55" s="432"/>
      <c r="G55" s="432"/>
      <c r="H55" s="432"/>
      <c r="I55" s="432"/>
      <c r="J55" s="279"/>
      <c r="K55" s="279"/>
      <c r="L55" s="279"/>
      <c r="M55" s="279"/>
      <c r="N55" s="279"/>
      <c r="O55" s="279"/>
    </row>
    <row r="56" spans="2:15" x14ac:dyDescent="0.25">
      <c r="B56" s="430"/>
      <c r="C56" s="435" t="s">
        <v>481</v>
      </c>
      <c r="D56" s="432"/>
      <c r="E56" s="432"/>
      <c r="F56" s="432"/>
      <c r="G56" s="432"/>
      <c r="H56" s="432"/>
      <c r="I56" s="432"/>
      <c r="J56" s="279"/>
      <c r="K56" s="279"/>
      <c r="L56" s="279"/>
      <c r="M56" s="279"/>
      <c r="N56" s="279"/>
      <c r="O56" s="279"/>
    </row>
    <row r="57" spans="2:15" x14ac:dyDescent="0.25">
      <c r="B57" s="430">
        <v>6</v>
      </c>
      <c r="C57" s="431" t="s">
        <v>503</v>
      </c>
      <c r="D57" s="564">
        <f>+Assum!G9</f>
        <v>0.155</v>
      </c>
      <c r="E57" s="564">
        <f>+Assum!H9</f>
        <v>0.155</v>
      </c>
      <c r="F57" s="564">
        <f>+Assum!I9</f>
        <v>0.155</v>
      </c>
      <c r="G57" s="564">
        <f>+Assum!J9</f>
        <v>0.155</v>
      </c>
      <c r="H57" s="564">
        <f>+Assum!K9</f>
        <v>0.155</v>
      </c>
      <c r="I57" s="432"/>
      <c r="J57" s="279"/>
      <c r="K57" s="279"/>
      <c r="L57" s="279"/>
      <c r="M57" s="279"/>
      <c r="N57" s="279"/>
      <c r="O57" s="279"/>
    </row>
    <row r="58" spans="2:15" x14ac:dyDescent="0.25">
      <c r="B58" s="430">
        <v>7</v>
      </c>
      <c r="C58" s="431" t="s">
        <v>504</v>
      </c>
      <c r="D58" s="564">
        <f>+D57/(1-Assum!G10)</f>
        <v>0.18781504459092671</v>
      </c>
      <c r="E58" s="564">
        <f>+E57/(1-Assum!H10)</f>
        <v>0.18781504459092671</v>
      </c>
      <c r="F58" s="564">
        <f>+F57/(1-Assum!I10)</f>
        <v>0.18781504459092671</v>
      </c>
      <c r="G58" s="564">
        <f>+G57/(1-Assum!J10)</f>
        <v>0.18781504459092671</v>
      </c>
      <c r="H58" s="564">
        <f>+H57/(1-Assum!K10)</f>
        <v>0.18781504459092671</v>
      </c>
      <c r="I58" s="432"/>
      <c r="J58" s="279"/>
      <c r="K58" s="279"/>
      <c r="L58" s="279"/>
      <c r="M58" s="279"/>
      <c r="N58" s="279"/>
      <c r="O58" s="279"/>
    </row>
    <row r="59" spans="2:15" x14ac:dyDescent="0.25">
      <c r="B59" s="430">
        <v>8</v>
      </c>
      <c r="C59" s="431" t="s">
        <v>484</v>
      </c>
      <c r="D59" s="513">
        <f>+D50*D58</f>
        <v>26.286508326281382</v>
      </c>
      <c r="E59" s="513">
        <f t="shared" ref="E59:H59" si="8">+E50*E58</f>
        <v>26.860518056312404</v>
      </c>
      <c r="F59" s="513">
        <f t="shared" si="8"/>
        <v>26.883055861663316</v>
      </c>
      <c r="G59" s="513">
        <f t="shared" si="8"/>
        <v>27.062231414203062</v>
      </c>
      <c r="H59" s="513">
        <f t="shared" si="8"/>
        <v>27.126112569689685</v>
      </c>
      <c r="I59" s="432"/>
      <c r="J59" s="279"/>
      <c r="K59" s="279"/>
      <c r="L59" s="279"/>
      <c r="M59" s="279"/>
      <c r="N59" s="279"/>
      <c r="O59" s="279"/>
    </row>
    <row r="60" spans="2:15" x14ac:dyDescent="0.25">
      <c r="B60" s="430">
        <f t="shared" si="6"/>
        <v>9</v>
      </c>
      <c r="C60" s="431" t="s">
        <v>485</v>
      </c>
      <c r="D60" s="513">
        <f>+D52*D58/2</f>
        <v>0.28700486501550992</v>
      </c>
      <c r="E60" s="513">
        <f t="shared" ref="E60:H60" si="9">+E52*E58/2</f>
        <v>1.1268902675455605E-2</v>
      </c>
      <c r="F60" s="513">
        <f t="shared" si="9"/>
        <v>8.9587776269872063E-2</v>
      </c>
      <c r="G60" s="513">
        <f t="shared" si="9"/>
        <v>3.1940577743311369E-2</v>
      </c>
      <c r="H60" s="513">
        <f t="shared" si="9"/>
        <v>0</v>
      </c>
      <c r="I60" s="432"/>
      <c r="J60" s="279"/>
      <c r="K60" s="279"/>
      <c r="L60" s="279"/>
      <c r="M60" s="279"/>
      <c r="N60" s="279"/>
      <c r="O60" s="279"/>
    </row>
    <row r="61" spans="2:15" x14ac:dyDescent="0.25">
      <c r="B61" s="430">
        <f t="shared" si="6"/>
        <v>10</v>
      </c>
      <c r="C61" s="435" t="s">
        <v>486</v>
      </c>
      <c r="D61" s="542">
        <f>+D59+D60</f>
        <v>26.573513191296893</v>
      </c>
      <c r="E61" s="542">
        <f t="shared" ref="E61:H61" si="10">+E59+E60</f>
        <v>26.871786958987862</v>
      </c>
      <c r="F61" s="542">
        <f t="shared" si="10"/>
        <v>26.972643637933189</v>
      </c>
      <c r="G61" s="542">
        <f t="shared" si="10"/>
        <v>27.094171991946371</v>
      </c>
      <c r="H61" s="542">
        <f t="shared" si="10"/>
        <v>27.126112569689685</v>
      </c>
      <c r="I61" s="432"/>
      <c r="J61" s="279"/>
      <c r="K61" s="279"/>
      <c r="L61" s="279"/>
      <c r="M61" s="279"/>
      <c r="N61" s="279"/>
      <c r="O61" s="279"/>
    </row>
    <row r="62" spans="2:15" x14ac:dyDescent="0.25">
      <c r="B62" s="279"/>
      <c r="C62" s="279"/>
      <c r="D62" s="279"/>
      <c r="E62" s="279"/>
      <c r="F62" s="279"/>
      <c r="G62" s="279"/>
      <c r="H62" s="279"/>
      <c r="I62" s="279"/>
      <c r="J62" s="279"/>
      <c r="K62" s="279"/>
      <c r="L62" s="279"/>
      <c r="M62" s="279"/>
      <c r="N62" s="279"/>
      <c r="O62" s="279"/>
    </row>
    <row r="63" spans="2:15" ht="33.75" customHeight="1" x14ac:dyDescent="0.25">
      <c r="B63" s="279"/>
      <c r="C63" s="1139" t="s">
        <v>505</v>
      </c>
      <c r="D63" s="1139"/>
      <c r="E63" s="1139"/>
      <c r="F63" s="1139"/>
      <c r="G63" s="1139"/>
      <c r="H63" s="1139"/>
      <c r="I63" s="1139"/>
      <c r="J63" s="1139"/>
      <c r="K63" s="1139"/>
      <c r="L63" s="1139"/>
      <c r="M63" s="490"/>
      <c r="N63" s="279"/>
      <c r="O63" s="279"/>
    </row>
    <row r="64" spans="2:15" x14ac:dyDescent="0.25">
      <c r="B64" s="279"/>
      <c r="C64" s="1140" t="s">
        <v>506</v>
      </c>
      <c r="D64" s="1140"/>
      <c r="E64" s="1140"/>
      <c r="F64" s="1140"/>
      <c r="G64" s="1140"/>
      <c r="H64" s="1140"/>
      <c r="I64" s="1140"/>
      <c r="J64" s="1140"/>
      <c r="K64" s="1140"/>
      <c r="L64" s="1140"/>
      <c r="M64" s="279"/>
      <c r="N64" s="279"/>
      <c r="O64" s="279"/>
    </row>
    <row r="65" spans="2:15" x14ac:dyDescent="0.25">
      <c r="B65" s="279"/>
      <c r="C65" s="1140" t="s">
        <v>507</v>
      </c>
      <c r="D65" s="1140"/>
      <c r="E65" s="1140"/>
      <c r="F65" s="1140"/>
      <c r="G65" s="1140"/>
      <c r="H65" s="1140"/>
      <c r="I65" s="1140"/>
      <c r="J65" s="1140"/>
      <c r="K65" s="1140"/>
      <c r="L65" s="1140"/>
      <c r="M65" s="279"/>
      <c r="N65" s="279"/>
      <c r="O65" s="279"/>
    </row>
  </sheetData>
  <mergeCells count="20">
    <mergeCell ref="B30:B31"/>
    <mergeCell ref="C30:C31"/>
    <mergeCell ref="D30:D31"/>
    <mergeCell ref="C40:M40"/>
    <mergeCell ref="B24:K24"/>
    <mergeCell ref="C8:C10"/>
    <mergeCell ref="B8:B10"/>
    <mergeCell ref="G8:I8"/>
    <mergeCell ref="J8:L8"/>
    <mergeCell ref="D8:F8"/>
    <mergeCell ref="B43:I43"/>
    <mergeCell ref="B42:I42"/>
    <mergeCell ref="C63:L63"/>
    <mergeCell ref="C64:L64"/>
    <mergeCell ref="C65:L65"/>
    <mergeCell ref="B47:B49"/>
    <mergeCell ref="C47:C49"/>
    <mergeCell ref="D47:H47"/>
    <mergeCell ref="I47:I49"/>
    <mergeCell ref="B44:I44"/>
  </mergeCells>
  <phoneticPr fontId="0" type="noConversion"/>
  <pageMargins left="0.2" right="0.23622047244094491" top="0.42" bottom="0.28999999999999998" header="0.23622047244094491" footer="0.23622047244094491"/>
  <pageSetup paperSize="9" scale="57"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1FCCE-3604-449B-AFE7-E7E3F8996262}">
  <dimension ref="C2:F14"/>
  <sheetViews>
    <sheetView showGridLines="0" workbookViewId="0">
      <selection activeCell="D10" sqref="D10:E10"/>
    </sheetView>
  </sheetViews>
  <sheetFormatPr defaultColWidth="9.109375" defaultRowHeight="13.2" x14ac:dyDescent="0.25"/>
  <cols>
    <col min="1" max="2" width="9.109375" style="649"/>
    <col min="3" max="3" width="37.33203125" style="649" bestFit="1" customWidth="1"/>
    <col min="4" max="5" width="10.33203125" style="649" bestFit="1" customWidth="1"/>
    <col min="6" max="16384" width="9.109375" style="649"/>
  </cols>
  <sheetData>
    <row r="2" spans="3:6" ht="13.8" x14ac:dyDescent="0.25">
      <c r="C2" s="1143" t="str">
        <f>Index!B2</f>
        <v>JAIGAD POWER TRANSCO LIMITED (JPTL)</v>
      </c>
      <c r="D2" s="1143"/>
      <c r="E2" s="1143"/>
    </row>
    <row r="3" spans="3:6" ht="12.75" customHeight="1" x14ac:dyDescent="0.25">
      <c r="C3" s="683"/>
      <c r="D3" s="684"/>
    </row>
    <row r="4" spans="3:6" ht="27.6" x14ac:dyDescent="0.25">
      <c r="C4" s="685" t="s">
        <v>74</v>
      </c>
      <c r="D4" s="685" t="s">
        <v>75</v>
      </c>
      <c r="E4" s="685" t="s">
        <v>76</v>
      </c>
    </row>
    <row r="5" spans="3:6" ht="13.8" x14ac:dyDescent="0.25">
      <c r="C5" s="686" t="s">
        <v>791</v>
      </c>
      <c r="D5" s="687"/>
      <c r="E5" s="687"/>
    </row>
    <row r="6" spans="3:6" ht="13.8" x14ac:dyDescent="0.25">
      <c r="C6" s="686" t="s">
        <v>792</v>
      </c>
      <c r="D6" s="688">
        <v>0.99</v>
      </c>
      <c r="E6" s="688">
        <v>0.99</v>
      </c>
    </row>
    <row r="7" spans="3:6" ht="13.8" x14ac:dyDescent="0.25">
      <c r="C7" s="686" t="s">
        <v>793</v>
      </c>
      <c r="D7" s="689">
        <v>0.99619999999999997</v>
      </c>
      <c r="E7" s="689">
        <v>0.99790000000000001</v>
      </c>
      <c r="F7" s="690"/>
    </row>
    <row r="8" spans="3:6" ht="13.8" x14ac:dyDescent="0.25">
      <c r="C8" s="686" t="s">
        <v>794</v>
      </c>
      <c r="D8" s="688">
        <v>0.995</v>
      </c>
      <c r="E8" s="688">
        <v>0.995</v>
      </c>
    </row>
    <row r="9" spans="3:6" ht="13.8" x14ac:dyDescent="0.25">
      <c r="C9" s="686" t="s">
        <v>795</v>
      </c>
      <c r="D9" s="688">
        <f>99.75%</f>
        <v>0.99750000000000005</v>
      </c>
      <c r="E9" s="688">
        <f>99.75%</f>
        <v>0.99750000000000005</v>
      </c>
    </row>
    <row r="10" spans="3:6" ht="13.8" x14ac:dyDescent="0.25">
      <c r="C10" s="686" t="s">
        <v>796</v>
      </c>
      <c r="D10" s="688">
        <f>IF(D7&gt;99.5%,MIN(0.75%+(D7-D8)/0.25%*0.75%,1.5%),(D7-D6)/0.5%*0.75%)</f>
        <v>1.1099999999999936E-2</v>
      </c>
      <c r="E10" s="688">
        <f>IF(E7&gt;99.5%,MIN(0.75%+(E7-E8)/0.25%*0.75%,1.5%),(E7-E6)/0.5%*0.75%)</f>
        <v>1.4999999999999999E-2</v>
      </c>
    </row>
    <row r="11" spans="3:6" x14ac:dyDescent="0.25">
      <c r="D11" s="655"/>
    </row>
    <row r="12" spans="3:6" x14ac:dyDescent="0.25">
      <c r="D12" s="691"/>
      <c r="E12" s="691"/>
    </row>
    <row r="13" spans="3:6" x14ac:dyDescent="0.25">
      <c r="E13" s="691"/>
    </row>
    <row r="14" spans="3:6" x14ac:dyDescent="0.25">
      <c r="E14" s="690"/>
    </row>
  </sheetData>
  <mergeCells count="1">
    <mergeCell ref="C2:E2"/>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1:T24"/>
  <sheetViews>
    <sheetView showGridLines="0" view="pageBreakPreview" topLeftCell="B1" zoomScale="90" zoomScaleNormal="75" zoomScaleSheetLayoutView="90" workbookViewId="0">
      <selection activeCell="E12" sqref="E12"/>
    </sheetView>
  </sheetViews>
  <sheetFormatPr defaultColWidth="9.33203125" defaultRowHeight="13.8" x14ac:dyDescent="0.25"/>
  <cols>
    <col min="1" max="1" width="4.33203125" style="1" customWidth="1"/>
    <col min="2" max="2" width="6.33203125" style="1" customWidth="1"/>
    <col min="3" max="3" width="46.6640625" style="1" customWidth="1"/>
    <col min="4" max="4" width="9.33203125" style="1" customWidth="1"/>
    <col min="5" max="5" width="12" style="1" bestFit="1" customWidth="1"/>
    <col min="6" max="6" width="12.5546875" style="1" customWidth="1"/>
    <col min="7" max="7" width="9.109375" style="1" customWidth="1"/>
    <col min="8" max="8" width="12" style="1" bestFit="1" customWidth="1"/>
    <col min="9" max="9" width="12.6640625" style="1" customWidth="1"/>
    <col min="10" max="10" width="9.109375" style="1" customWidth="1"/>
    <col min="11" max="11" width="8.33203125" style="1" bestFit="1" customWidth="1"/>
    <col min="12" max="12" width="12.109375" style="1" customWidth="1"/>
    <col min="13" max="13" width="13.109375" style="1" bestFit="1" customWidth="1"/>
    <col min="14" max="14" width="16.5546875" style="1" bestFit="1" customWidth="1"/>
    <col min="15" max="19" width="11.33203125" style="1" bestFit="1" customWidth="1"/>
    <col min="20" max="20" width="15.6640625" style="1" customWidth="1"/>
    <col min="21" max="16384" width="9.33203125" style="1"/>
  </cols>
  <sheetData>
    <row r="1" spans="2:20" x14ac:dyDescent="0.25">
      <c r="B1" s="6"/>
    </row>
    <row r="2" spans="2:20" x14ac:dyDescent="0.25">
      <c r="B2" s="1021" t="str">
        <f>Index!B2</f>
        <v>JAIGAD POWER TRANSCO LIMITED (JPTL)</v>
      </c>
      <c r="C2" s="1144"/>
      <c r="D2" s="1144"/>
      <c r="E2" s="1144"/>
      <c r="F2" s="1144"/>
      <c r="G2" s="1144"/>
      <c r="H2" s="1144"/>
      <c r="I2" s="1144"/>
      <c r="J2" s="1144"/>
      <c r="K2" s="1144"/>
      <c r="L2" s="1144"/>
      <c r="M2" s="1144"/>
      <c r="N2" s="1144"/>
      <c r="O2" s="1144"/>
      <c r="P2" s="1144"/>
      <c r="Q2" s="1144"/>
      <c r="R2" s="1144"/>
      <c r="S2" s="1144"/>
      <c r="T2" s="1144"/>
    </row>
    <row r="3" spans="2:20" x14ac:dyDescent="0.25">
      <c r="B3" s="1021" t="s">
        <v>0</v>
      </c>
      <c r="C3" s="1144"/>
      <c r="D3" s="1144"/>
      <c r="E3" s="1144"/>
      <c r="F3" s="1144"/>
      <c r="G3" s="1144"/>
      <c r="H3" s="1144"/>
      <c r="I3" s="1144"/>
      <c r="J3" s="1144"/>
      <c r="K3" s="1144"/>
      <c r="L3" s="1144"/>
      <c r="M3" s="1144"/>
      <c r="N3" s="1144"/>
      <c r="O3" s="1144"/>
      <c r="P3" s="1144"/>
      <c r="Q3" s="1144"/>
      <c r="R3" s="1144"/>
      <c r="S3" s="1144"/>
      <c r="T3" s="1144"/>
    </row>
    <row r="4" spans="2:20" x14ac:dyDescent="0.25">
      <c r="B4" s="1021" t="s">
        <v>508</v>
      </c>
      <c r="C4" s="1144"/>
      <c r="D4" s="1144"/>
      <c r="E4" s="1144"/>
      <c r="F4" s="1144"/>
      <c r="G4" s="1144"/>
      <c r="H4" s="1144"/>
      <c r="I4" s="1144"/>
      <c r="J4" s="1144"/>
      <c r="K4" s="1144"/>
      <c r="L4" s="1144"/>
      <c r="M4" s="1144"/>
      <c r="N4" s="1144"/>
      <c r="O4" s="1144"/>
      <c r="P4" s="1144"/>
      <c r="Q4" s="1144"/>
      <c r="R4" s="1144"/>
      <c r="S4" s="1144"/>
      <c r="T4" s="1144"/>
    </row>
    <row r="5" spans="2:20" x14ac:dyDescent="0.25">
      <c r="B5" s="2"/>
      <c r="C5" s="2"/>
    </row>
    <row r="6" spans="2:20" x14ac:dyDescent="0.25">
      <c r="C6" s="7"/>
      <c r="J6" s="7"/>
      <c r="L6" s="8"/>
      <c r="T6" s="8" t="s">
        <v>73</v>
      </c>
    </row>
    <row r="7" spans="2:20" s="19" customFormat="1" x14ac:dyDescent="0.25">
      <c r="B7" s="938" t="s">
        <v>1</v>
      </c>
      <c r="C7" s="943" t="s">
        <v>74</v>
      </c>
      <c r="D7" s="945" t="s">
        <v>75</v>
      </c>
      <c r="E7" s="946"/>
      <c r="F7" s="947"/>
      <c r="G7" s="945" t="s">
        <v>76</v>
      </c>
      <c r="H7" s="946"/>
      <c r="I7" s="947"/>
      <c r="J7" s="945" t="s">
        <v>77</v>
      </c>
      <c r="K7" s="946"/>
      <c r="L7" s="946"/>
      <c r="M7" s="946"/>
      <c r="N7" s="947"/>
      <c r="O7" s="936" t="s">
        <v>78</v>
      </c>
      <c r="P7" s="936"/>
      <c r="Q7" s="936"/>
      <c r="R7" s="936"/>
      <c r="S7" s="936"/>
      <c r="T7" s="936" t="s">
        <v>79</v>
      </c>
    </row>
    <row r="8" spans="2:20" s="148" customFormat="1" ht="42.6" customHeight="1" x14ac:dyDescent="0.25">
      <c r="B8" s="939"/>
      <c r="C8" s="943"/>
      <c r="D8" s="418" t="s">
        <v>80</v>
      </c>
      <c r="E8" s="418" t="s">
        <v>81</v>
      </c>
      <c r="F8" s="418" t="s">
        <v>82</v>
      </c>
      <c r="G8" s="418" t="s">
        <v>80</v>
      </c>
      <c r="H8" s="418" t="s">
        <v>81</v>
      </c>
      <c r="I8" s="418" t="s">
        <v>82</v>
      </c>
      <c r="J8" s="418" t="s">
        <v>80</v>
      </c>
      <c r="K8" s="418" t="s">
        <v>83</v>
      </c>
      <c r="L8" s="418" t="s">
        <v>84</v>
      </c>
      <c r="M8" s="418" t="s">
        <v>85</v>
      </c>
      <c r="N8" s="418" t="s">
        <v>86</v>
      </c>
      <c r="O8" s="418" t="s">
        <v>87</v>
      </c>
      <c r="P8" s="418" t="s">
        <v>88</v>
      </c>
      <c r="Q8" s="418" t="s">
        <v>89</v>
      </c>
      <c r="R8" s="418" t="s">
        <v>90</v>
      </c>
      <c r="S8" s="418" t="s">
        <v>91</v>
      </c>
      <c r="T8" s="936"/>
    </row>
    <row r="9" spans="2:20" s="19" customFormat="1" ht="27.6" x14ac:dyDescent="0.25">
      <c r="B9" s="956"/>
      <c r="C9" s="957"/>
      <c r="D9" s="418" t="s">
        <v>92</v>
      </c>
      <c r="E9" s="418" t="s">
        <v>93</v>
      </c>
      <c r="F9" s="418" t="s">
        <v>94</v>
      </c>
      <c r="G9" s="418" t="s">
        <v>95</v>
      </c>
      <c r="H9" s="418" t="s">
        <v>96</v>
      </c>
      <c r="I9" s="418" t="s">
        <v>97</v>
      </c>
      <c r="J9" s="418" t="s">
        <v>98</v>
      </c>
      <c r="K9" s="418" t="s">
        <v>99</v>
      </c>
      <c r="L9" s="418" t="s">
        <v>100</v>
      </c>
      <c r="M9" s="418" t="s">
        <v>101</v>
      </c>
      <c r="N9" s="418" t="s">
        <v>102</v>
      </c>
      <c r="O9" s="418" t="s">
        <v>103</v>
      </c>
      <c r="P9" s="418" t="s">
        <v>103</v>
      </c>
      <c r="Q9" s="418" t="s">
        <v>103</v>
      </c>
      <c r="R9" s="418" t="s">
        <v>103</v>
      </c>
      <c r="S9" s="418" t="s">
        <v>103</v>
      </c>
      <c r="T9" s="937"/>
    </row>
    <row r="10" spans="2:20" s="8" customFormat="1" x14ac:dyDescent="0.25">
      <c r="B10" s="124">
        <v>1</v>
      </c>
      <c r="C10" s="13" t="s">
        <v>509</v>
      </c>
      <c r="D10" s="4"/>
      <c r="E10" s="4"/>
      <c r="F10" s="4"/>
      <c r="G10" s="4"/>
      <c r="H10" s="4"/>
      <c r="I10" s="4"/>
      <c r="J10" s="4"/>
      <c r="K10" s="4"/>
      <c r="L10" s="4"/>
      <c r="M10" s="4"/>
      <c r="N10" s="4"/>
      <c r="O10" s="4"/>
      <c r="P10" s="4"/>
      <c r="Q10" s="125"/>
      <c r="R10" s="125"/>
      <c r="S10" s="125"/>
      <c r="T10" s="125"/>
    </row>
    <row r="11" spans="2:20" s="8" customFormat="1" x14ac:dyDescent="0.25">
      <c r="B11" s="124">
        <v>2</v>
      </c>
      <c r="C11" s="13" t="s">
        <v>510</v>
      </c>
      <c r="D11" s="4"/>
      <c r="E11" s="4"/>
      <c r="F11" s="4"/>
      <c r="G11" s="4"/>
      <c r="H11" s="4"/>
      <c r="I11" s="4"/>
      <c r="J11" s="4"/>
      <c r="K11" s="4"/>
      <c r="L11" s="4"/>
      <c r="M11" s="4"/>
      <c r="N11" s="4"/>
      <c r="O11" s="4"/>
      <c r="P11" s="4"/>
      <c r="Q11" s="125"/>
      <c r="R11" s="125"/>
      <c r="S11" s="125"/>
      <c r="T11" s="125"/>
    </row>
    <row r="12" spans="2:20" s="8" customFormat="1" x14ac:dyDescent="0.25">
      <c r="B12" s="124">
        <v>3</v>
      </c>
      <c r="C12" s="13" t="s">
        <v>511</v>
      </c>
      <c r="D12" s="4"/>
      <c r="E12" s="537">
        <f>+'G Sec Investment'!F46</f>
        <v>1.0655552512246327</v>
      </c>
      <c r="F12" s="4"/>
      <c r="G12" s="4"/>
      <c r="H12" s="537">
        <f>+'G Sec Investment'!G46</f>
        <v>1.1658564682027326</v>
      </c>
      <c r="I12" s="4"/>
      <c r="J12" s="4"/>
      <c r="K12" s="537">
        <f>+M12/2</f>
        <v>0.63221672693717279</v>
      </c>
      <c r="L12" s="537">
        <f>+M12/2</f>
        <v>0.63221672693717279</v>
      </c>
      <c r="M12" s="535">
        <f>+'G Sec Investment'!H46</f>
        <v>1.2644334538743456</v>
      </c>
      <c r="N12" s="4"/>
      <c r="O12" s="535">
        <f>+'G Sec Investment'!I46</f>
        <v>1.3599220489675738</v>
      </c>
      <c r="P12" s="535">
        <f>+'G Sec Investment'!J46</f>
        <v>1.4541597017670043</v>
      </c>
      <c r="Q12" s="535">
        <f>+'G Sec Investment'!K46</f>
        <v>1.5483973545664347</v>
      </c>
      <c r="R12" s="535">
        <f>+'G Sec Investment'!L46</f>
        <v>1.6426350073658651</v>
      </c>
      <c r="S12" s="535">
        <f>+'G Sec Investment'!M46</f>
        <v>1.7368726601652955</v>
      </c>
      <c r="T12" s="125"/>
    </row>
    <row r="13" spans="2:20" s="8" customFormat="1" x14ac:dyDescent="0.25">
      <c r="B13" s="124">
        <v>4</v>
      </c>
      <c r="C13" s="13" t="s">
        <v>512</v>
      </c>
      <c r="D13" s="4"/>
      <c r="E13" s="4"/>
      <c r="F13" s="4"/>
      <c r="G13" s="4"/>
      <c r="H13" s="4"/>
      <c r="I13" s="4"/>
      <c r="J13" s="4"/>
      <c r="K13" s="4"/>
      <c r="L13" s="4"/>
      <c r="M13" s="4"/>
      <c r="N13" s="4"/>
      <c r="O13" s="4"/>
      <c r="P13" s="4"/>
      <c r="Q13" s="125"/>
      <c r="R13" s="125"/>
      <c r="S13" s="125"/>
      <c r="T13" s="125"/>
    </row>
    <row r="14" spans="2:20" s="8" customFormat="1" x14ac:dyDescent="0.25">
      <c r="B14" s="124">
        <v>5</v>
      </c>
      <c r="C14" s="10" t="s">
        <v>513</v>
      </c>
      <c r="D14" s="4"/>
      <c r="E14" s="4"/>
      <c r="F14" s="4"/>
      <c r="G14" s="4"/>
      <c r="H14" s="4"/>
      <c r="I14" s="4"/>
      <c r="J14" s="4"/>
      <c r="K14" s="4"/>
      <c r="L14" s="4"/>
      <c r="M14" s="4"/>
      <c r="N14" s="4"/>
      <c r="O14" s="4"/>
      <c r="P14" s="4"/>
      <c r="Q14" s="125"/>
      <c r="R14" s="125"/>
      <c r="S14" s="125"/>
      <c r="T14" s="125"/>
    </row>
    <row r="15" spans="2:20" s="8" customFormat="1" x14ac:dyDescent="0.25">
      <c r="B15" s="124">
        <v>6</v>
      </c>
      <c r="C15" s="10" t="s">
        <v>514</v>
      </c>
      <c r="D15" s="4"/>
      <c r="E15" s="4"/>
      <c r="F15" s="4"/>
      <c r="G15" s="4"/>
      <c r="H15" s="4"/>
      <c r="I15" s="4"/>
      <c r="J15" s="4"/>
      <c r="K15" s="4"/>
      <c r="L15" s="4"/>
      <c r="M15" s="4"/>
      <c r="N15" s="4"/>
      <c r="O15" s="4"/>
      <c r="P15" s="4"/>
      <c r="Q15" s="125"/>
      <c r="R15" s="125"/>
      <c r="S15" s="125"/>
      <c r="T15" s="125"/>
    </row>
    <row r="16" spans="2:20" s="8" customFormat="1" x14ac:dyDescent="0.25">
      <c r="B16" s="124">
        <v>7</v>
      </c>
      <c r="C16" s="10" t="s">
        <v>515</v>
      </c>
      <c r="D16" s="4"/>
      <c r="E16" s="4"/>
      <c r="F16" s="4"/>
      <c r="G16" s="4"/>
      <c r="H16" s="4"/>
      <c r="I16" s="4"/>
      <c r="J16" s="4"/>
      <c r="K16" s="4"/>
      <c r="L16" s="4"/>
      <c r="M16" s="4"/>
      <c r="N16" s="4"/>
      <c r="O16" s="4"/>
      <c r="P16" s="4"/>
      <c r="Q16" s="125"/>
      <c r="R16" s="125"/>
      <c r="S16" s="125"/>
      <c r="T16" s="125"/>
    </row>
    <row r="17" spans="2:20" x14ac:dyDescent="0.25">
      <c r="B17" s="124">
        <v>8</v>
      </c>
      <c r="C17" s="10" t="s">
        <v>516</v>
      </c>
      <c r="D17" s="4"/>
      <c r="E17" s="4"/>
      <c r="F17" s="4"/>
      <c r="G17" s="4"/>
      <c r="H17" s="4"/>
      <c r="I17" s="4"/>
      <c r="J17" s="4"/>
      <c r="K17" s="4"/>
      <c r="L17" s="4"/>
      <c r="M17" s="4"/>
      <c r="N17" s="4"/>
      <c r="O17" s="4"/>
      <c r="P17" s="4"/>
      <c r="Q17" s="11"/>
      <c r="R17" s="125"/>
      <c r="S17" s="125"/>
      <c r="T17" s="125"/>
    </row>
    <row r="18" spans="2:20" x14ac:dyDescent="0.25">
      <c r="B18" s="124">
        <v>9</v>
      </c>
      <c r="C18" s="10" t="s">
        <v>517</v>
      </c>
      <c r="D18" s="4"/>
      <c r="E18" s="4"/>
      <c r="F18" s="4"/>
      <c r="G18" s="4"/>
      <c r="H18" s="4"/>
      <c r="I18" s="4"/>
      <c r="J18" s="4"/>
      <c r="K18" s="4"/>
      <c r="L18" s="4"/>
      <c r="M18" s="4"/>
      <c r="N18" s="4"/>
      <c r="O18" s="4"/>
      <c r="P18" s="4"/>
      <c r="Q18" s="11"/>
      <c r="R18" s="125"/>
      <c r="S18" s="125"/>
      <c r="T18" s="125"/>
    </row>
    <row r="19" spans="2:20" x14ac:dyDescent="0.25">
      <c r="B19" s="124">
        <v>10</v>
      </c>
      <c r="C19" s="11" t="s">
        <v>518</v>
      </c>
      <c r="D19" s="4"/>
      <c r="E19" s="4"/>
      <c r="F19" s="4"/>
      <c r="G19" s="4"/>
      <c r="H19" s="4"/>
      <c r="I19" s="4"/>
      <c r="J19" s="4"/>
      <c r="K19" s="4"/>
      <c r="L19" s="4"/>
      <c r="M19" s="4"/>
      <c r="N19" s="4"/>
      <c r="O19" s="4"/>
      <c r="P19" s="4"/>
      <c r="Q19" s="11"/>
      <c r="R19" s="125"/>
      <c r="S19" s="125"/>
      <c r="T19" s="125"/>
    </row>
    <row r="20" spans="2:20" x14ac:dyDescent="0.25">
      <c r="B20" s="124">
        <v>11</v>
      </c>
      <c r="C20" s="10" t="s">
        <v>831</v>
      </c>
      <c r="D20" s="4"/>
      <c r="E20" s="535"/>
      <c r="F20" s="4"/>
      <c r="G20" s="4"/>
      <c r="H20" s="535"/>
      <c r="I20" s="4"/>
      <c r="J20" s="4"/>
      <c r="K20" s="4"/>
      <c r="L20" s="4"/>
      <c r="M20" s="4"/>
      <c r="N20" s="4"/>
      <c r="O20" s="4"/>
      <c r="P20" s="4"/>
      <c r="Q20" s="11"/>
      <c r="R20" s="125"/>
      <c r="S20" s="125"/>
      <c r="T20" s="125"/>
    </row>
    <row r="21" spans="2:20" x14ac:dyDescent="0.25">
      <c r="B21" s="124">
        <v>12</v>
      </c>
      <c r="C21" s="10" t="s">
        <v>304</v>
      </c>
      <c r="D21" s="4"/>
      <c r="E21" s="4"/>
      <c r="F21" s="4"/>
      <c r="G21" s="4"/>
      <c r="H21" s="4"/>
      <c r="I21" s="4"/>
      <c r="J21" s="4"/>
      <c r="K21" s="4"/>
      <c r="L21" s="4"/>
      <c r="M21" s="4"/>
      <c r="N21" s="4"/>
      <c r="O21" s="4"/>
      <c r="P21" s="4"/>
      <c r="Q21" s="11"/>
      <c r="R21" s="125"/>
      <c r="S21" s="125"/>
      <c r="T21" s="125"/>
    </row>
    <row r="22" spans="2:20" x14ac:dyDescent="0.25">
      <c r="B22" s="124"/>
      <c r="C22" s="12" t="s">
        <v>180</v>
      </c>
      <c r="D22" s="80">
        <v>1.07</v>
      </c>
      <c r="E22" s="542">
        <f>SUM(E10:E20)</f>
        <v>1.0655552512246327</v>
      </c>
      <c r="F22" s="4"/>
      <c r="G22" s="80">
        <v>1.17</v>
      </c>
      <c r="H22" s="542">
        <f>SUM(H10:H20)</f>
        <v>1.1658564682027326</v>
      </c>
      <c r="I22" s="4"/>
      <c r="J22" s="542">
        <v>1.27</v>
      </c>
      <c r="K22" s="542">
        <f>SUM(K10:K20)</f>
        <v>0.63221672693717279</v>
      </c>
      <c r="L22" s="542">
        <f t="shared" ref="L22:S22" si="0">SUM(L10:L20)</f>
        <v>0.63221672693717279</v>
      </c>
      <c r="M22" s="542">
        <f t="shared" si="0"/>
        <v>1.2644334538743456</v>
      </c>
      <c r="N22" s="4"/>
      <c r="O22" s="542">
        <f t="shared" si="0"/>
        <v>1.3599220489675738</v>
      </c>
      <c r="P22" s="542">
        <f t="shared" si="0"/>
        <v>1.4541597017670043</v>
      </c>
      <c r="Q22" s="542">
        <f t="shared" si="0"/>
        <v>1.5483973545664347</v>
      </c>
      <c r="R22" s="542">
        <f t="shared" si="0"/>
        <v>1.6426350073658651</v>
      </c>
      <c r="S22" s="542">
        <f t="shared" si="0"/>
        <v>1.7368726601652955</v>
      </c>
      <c r="T22" s="125"/>
    </row>
    <row r="23" spans="2:20" x14ac:dyDescent="0.25">
      <c r="C23" s="9"/>
    </row>
    <row r="24" spans="2:20" x14ac:dyDescent="0.25">
      <c r="B24" s="19" t="s">
        <v>124</v>
      </c>
    </row>
  </sheetData>
  <mergeCells count="10">
    <mergeCell ref="B2:T2"/>
    <mergeCell ref="B3:T3"/>
    <mergeCell ref="B4:T4"/>
    <mergeCell ref="O7:S7"/>
    <mergeCell ref="T7:T9"/>
    <mergeCell ref="B7:B9"/>
    <mergeCell ref="C7:C9"/>
    <mergeCell ref="G7:I7"/>
    <mergeCell ref="J7:N7"/>
    <mergeCell ref="D7:F7"/>
  </mergeCells>
  <phoneticPr fontId="0" type="noConversion"/>
  <pageMargins left="0.33" right="0.23622047244094491" top="0.31" bottom="0.3" header="0.23622047244094491" footer="0.23622047244094491"/>
  <pageSetup paperSize="9" scale="57"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FC4C2-C728-4184-A5B6-CB7DEDDB020B}">
  <sheetPr>
    <tabColor rgb="FF92D050"/>
  </sheetPr>
  <dimension ref="A1:W985"/>
  <sheetViews>
    <sheetView showGridLines="0" workbookViewId="0">
      <selection activeCell="F47" sqref="F47"/>
    </sheetView>
  </sheetViews>
  <sheetFormatPr defaultColWidth="12.5546875" defaultRowHeight="15" customHeight="1" x14ac:dyDescent="0.25"/>
  <cols>
    <col min="1" max="1" width="9.109375" style="671" customWidth="1"/>
    <col min="2" max="2" width="27.6640625" style="671" customWidth="1"/>
    <col min="3" max="3" width="10.5546875" style="671" customWidth="1"/>
    <col min="4" max="4" width="11.88671875" style="671" customWidth="1"/>
    <col min="5" max="7" width="10.5546875" style="671" customWidth="1"/>
    <col min="8" max="10" width="11" style="671" customWidth="1"/>
    <col min="11" max="15" width="11" style="671" bestFit="1" customWidth="1"/>
    <col min="16" max="23" width="8.5546875" style="671" customWidth="1"/>
    <col min="24" max="16384" width="12.5546875" style="671"/>
  </cols>
  <sheetData>
    <row r="1" spans="1:23" ht="12.75" customHeight="1" x14ac:dyDescent="0.25">
      <c r="A1" s="670"/>
      <c r="B1" s="1145" t="s">
        <v>882</v>
      </c>
      <c r="C1" s="1146"/>
      <c r="D1" s="1146"/>
      <c r="E1" s="1146"/>
      <c r="F1" s="1146"/>
      <c r="G1" s="1146"/>
      <c r="H1" s="1146"/>
      <c r="I1" s="1146"/>
      <c r="J1" s="1146"/>
      <c r="K1" s="670"/>
      <c r="L1" s="670"/>
      <c r="M1" s="670"/>
      <c r="N1" s="670"/>
      <c r="O1" s="670"/>
      <c r="P1" s="670"/>
      <c r="Q1" s="670"/>
      <c r="R1" s="670"/>
      <c r="S1" s="670"/>
      <c r="T1" s="670"/>
      <c r="U1" s="670"/>
      <c r="V1" s="670"/>
      <c r="W1" s="670"/>
    </row>
    <row r="2" spans="1:23" ht="12.75" customHeight="1" x14ac:dyDescent="0.25">
      <c r="A2" s="670"/>
      <c r="B2" s="670"/>
      <c r="C2" s="670"/>
      <c r="D2" s="670"/>
      <c r="E2" s="670"/>
      <c r="F2" s="670"/>
      <c r="G2" s="670"/>
      <c r="H2" s="1147"/>
      <c r="I2" s="1147"/>
      <c r="J2" s="1147"/>
      <c r="K2" s="672"/>
      <c r="L2" s="670"/>
      <c r="M2" s="670"/>
      <c r="N2" s="670"/>
      <c r="O2" s="670"/>
      <c r="P2" s="670"/>
      <c r="Q2" s="670"/>
      <c r="R2" s="670"/>
      <c r="S2" s="670"/>
      <c r="T2" s="670"/>
      <c r="U2" s="670"/>
      <c r="V2" s="670"/>
      <c r="W2" s="670"/>
    </row>
    <row r="3" spans="1:23" ht="12.75" customHeight="1" x14ac:dyDescent="0.25">
      <c r="A3" s="670"/>
      <c r="B3" s="681" t="s">
        <v>711</v>
      </c>
      <c r="C3" s="681" t="s">
        <v>883</v>
      </c>
      <c r="D3" s="681" t="s">
        <v>884</v>
      </c>
      <c r="E3" s="681" t="s">
        <v>885</v>
      </c>
      <c r="F3" s="681" t="s">
        <v>886</v>
      </c>
      <c r="G3" s="681" t="s">
        <v>887</v>
      </c>
      <c r="H3" s="1147"/>
      <c r="I3" s="1147"/>
      <c r="J3" s="1147"/>
      <c r="K3" s="672"/>
      <c r="L3" s="670"/>
      <c r="M3" s="670"/>
      <c r="N3" s="670"/>
      <c r="O3" s="670"/>
      <c r="P3" s="670"/>
      <c r="Q3" s="670"/>
      <c r="R3" s="670"/>
      <c r="S3" s="670"/>
      <c r="T3" s="670"/>
      <c r="U3" s="670"/>
      <c r="V3" s="670"/>
      <c r="W3" s="670"/>
    </row>
    <row r="4" spans="1:23" ht="25.2" customHeight="1" x14ac:dyDescent="0.25">
      <c r="A4" s="820"/>
      <c r="B4" s="830" t="s">
        <v>890</v>
      </c>
      <c r="C4" s="831">
        <v>41857</v>
      </c>
      <c r="D4" s="832">
        <v>3.4</v>
      </c>
      <c r="E4" s="832">
        <v>3.2418999999999998</v>
      </c>
      <c r="F4" s="833">
        <v>8.2799999999999999E-2</v>
      </c>
      <c r="G4" s="834">
        <f>0.45+1.38+1.39</f>
        <v>3.2199999999999998</v>
      </c>
      <c r="H4" s="1147"/>
      <c r="I4" s="1147"/>
      <c r="J4" s="1147"/>
      <c r="K4" s="672"/>
      <c r="L4" s="670"/>
      <c r="M4" s="670"/>
      <c r="N4" s="670"/>
      <c r="O4" s="670"/>
      <c r="P4" s="670"/>
      <c r="Q4" s="670"/>
      <c r="R4" s="670"/>
      <c r="S4" s="670"/>
      <c r="T4" s="670"/>
      <c r="U4" s="670"/>
      <c r="V4" s="670"/>
      <c r="W4" s="670"/>
    </row>
    <row r="5" spans="1:23" ht="12.75" customHeight="1" x14ac:dyDescent="0.25">
      <c r="A5" s="670"/>
      <c r="B5" s="679" t="s">
        <v>891</v>
      </c>
      <c r="C5" s="835">
        <v>41911</v>
      </c>
      <c r="D5" s="836">
        <v>1.5</v>
      </c>
      <c r="E5" s="836">
        <v>1.4835</v>
      </c>
      <c r="F5" s="680">
        <v>8.3299999999999999E-2</v>
      </c>
      <c r="G5" s="682">
        <v>1.39</v>
      </c>
      <c r="H5" s="1147"/>
      <c r="I5" s="1147"/>
      <c r="J5" s="1147"/>
      <c r="K5" s="672"/>
      <c r="L5" s="670"/>
      <c r="M5" s="670"/>
      <c r="N5" s="670"/>
      <c r="O5" s="670"/>
      <c r="P5" s="670"/>
      <c r="Q5" s="670"/>
      <c r="R5" s="670"/>
      <c r="S5" s="670"/>
      <c r="T5" s="670"/>
      <c r="U5" s="670"/>
      <c r="V5" s="670"/>
      <c r="W5" s="670"/>
    </row>
    <row r="6" spans="1:23" ht="12.75" customHeight="1" x14ac:dyDescent="0.25">
      <c r="A6" s="670"/>
      <c r="B6" s="679" t="s">
        <v>892</v>
      </c>
      <c r="C6" s="835">
        <v>42277</v>
      </c>
      <c r="D6" s="836">
        <v>1.35</v>
      </c>
      <c r="E6" s="836">
        <v>1.38645</v>
      </c>
      <c r="F6" s="680">
        <v>8.2799999999999999E-2</v>
      </c>
      <c r="G6" s="682">
        <v>1.39</v>
      </c>
      <c r="H6" s="1147"/>
      <c r="I6" s="1147"/>
      <c r="J6" s="1147"/>
      <c r="K6" s="672"/>
      <c r="L6" s="670"/>
      <c r="M6" s="670"/>
      <c r="N6" s="670"/>
      <c r="O6" s="670"/>
      <c r="P6" s="670"/>
      <c r="Q6" s="670"/>
      <c r="R6" s="670"/>
      <c r="S6" s="670"/>
      <c r="T6" s="670"/>
      <c r="U6" s="670"/>
      <c r="V6" s="670"/>
      <c r="W6" s="670"/>
    </row>
    <row r="7" spans="1:23" ht="12.75" customHeight="1" x14ac:dyDescent="0.25">
      <c r="A7" s="670"/>
      <c r="B7" s="679" t="s">
        <v>893</v>
      </c>
      <c r="C7" s="835">
        <v>42711</v>
      </c>
      <c r="D7" s="836">
        <v>1.4</v>
      </c>
      <c r="E7" s="836">
        <v>1.7930164</v>
      </c>
      <c r="F7" s="680">
        <v>9.2299999999999993E-2</v>
      </c>
      <c r="G7" s="682">
        <v>1.39</v>
      </c>
      <c r="H7" s="1147"/>
      <c r="I7" s="1147"/>
      <c r="J7" s="1147"/>
      <c r="K7" s="672"/>
      <c r="L7" s="670"/>
      <c r="M7" s="670"/>
      <c r="N7" s="670"/>
      <c r="O7" s="670"/>
      <c r="P7" s="670"/>
      <c r="Q7" s="670"/>
      <c r="R7" s="670"/>
      <c r="S7" s="670"/>
      <c r="T7" s="670"/>
      <c r="U7" s="670"/>
      <c r="V7" s="670"/>
      <c r="W7" s="670"/>
    </row>
    <row r="8" spans="1:23" ht="12.75" customHeight="1" x14ac:dyDescent="0.25">
      <c r="A8" s="670"/>
      <c r="B8" s="679" t="s">
        <v>894</v>
      </c>
      <c r="C8" s="835">
        <v>43003</v>
      </c>
      <c r="D8" s="836">
        <v>1.4</v>
      </c>
      <c r="E8" s="836">
        <v>1.54504</v>
      </c>
      <c r="F8" s="680">
        <v>8.2799999999999999E-2</v>
      </c>
      <c r="G8" s="682">
        <v>1.38</v>
      </c>
      <c r="H8" s="1147"/>
      <c r="I8" s="1147"/>
      <c r="J8" s="1147"/>
      <c r="K8" s="672"/>
      <c r="L8" s="670"/>
      <c r="M8" s="670"/>
      <c r="N8" s="670"/>
      <c r="O8" s="670"/>
      <c r="P8" s="670"/>
      <c r="Q8" s="670"/>
      <c r="R8" s="670"/>
      <c r="S8" s="670"/>
      <c r="T8" s="670"/>
      <c r="U8" s="670"/>
      <c r="V8" s="670"/>
      <c r="W8" s="670"/>
    </row>
    <row r="9" spans="1:23" ht="12.75" customHeight="1" x14ac:dyDescent="0.25">
      <c r="A9" s="670"/>
      <c r="B9" s="679" t="s">
        <v>895</v>
      </c>
      <c r="C9" s="835">
        <v>43368</v>
      </c>
      <c r="D9" s="836">
        <v>1.4</v>
      </c>
      <c r="E9" s="836">
        <v>1.4063000000000001</v>
      </c>
      <c r="F9" s="680">
        <v>8.3199999999999996E-2</v>
      </c>
      <c r="G9" s="682">
        <v>1.38</v>
      </c>
      <c r="H9" s="1147"/>
      <c r="I9" s="1147"/>
      <c r="J9" s="1147"/>
      <c r="K9" s="672"/>
      <c r="L9" s="670"/>
      <c r="M9" s="670"/>
      <c r="N9" s="670"/>
      <c r="O9" s="670"/>
      <c r="P9" s="670"/>
      <c r="Q9" s="670"/>
      <c r="R9" s="670"/>
      <c r="S9" s="670"/>
      <c r="T9" s="670"/>
      <c r="U9" s="670"/>
      <c r="V9" s="670"/>
      <c r="W9" s="670"/>
    </row>
    <row r="10" spans="1:23" ht="12.75" customHeight="1" x14ac:dyDescent="0.25">
      <c r="A10" s="670"/>
      <c r="B10" s="679" t="s">
        <v>896</v>
      </c>
      <c r="C10" s="835">
        <v>43738</v>
      </c>
      <c r="D10" s="836">
        <v>1.4</v>
      </c>
      <c r="E10" s="836">
        <v>1.4888999999999999</v>
      </c>
      <c r="F10" s="680">
        <v>7.7299999999999994E-2</v>
      </c>
      <c r="G10" s="682">
        <v>1.38</v>
      </c>
      <c r="H10" s="1147"/>
      <c r="I10" s="1147"/>
      <c r="J10" s="1147"/>
      <c r="K10" s="672"/>
      <c r="L10" s="670"/>
      <c r="M10" s="670"/>
      <c r="N10" s="670"/>
      <c r="O10" s="670"/>
      <c r="P10" s="670"/>
      <c r="Q10" s="670"/>
      <c r="R10" s="670"/>
      <c r="S10" s="670"/>
      <c r="T10" s="670"/>
      <c r="U10" s="670"/>
      <c r="V10" s="670"/>
      <c r="W10" s="670"/>
    </row>
    <row r="11" spans="1:23" ht="12.75" customHeight="1" x14ac:dyDescent="0.25">
      <c r="A11" s="670"/>
      <c r="B11" s="679" t="s">
        <v>888</v>
      </c>
      <c r="C11" s="835">
        <v>44095</v>
      </c>
      <c r="D11" s="836">
        <v>1.4</v>
      </c>
      <c r="E11" s="836">
        <v>1.4392</v>
      </c>
      <c r="F11" s="680">
        <v>6.5699999999999995E-2</v>
      </c>
      <c r="G11" s="682">
        <v>1.38</v>
      </c>
      <c r="H11" s="1147"/>
      <c r="I11" s="1147"/>
      <c r="J11" s="1147"/>
      <c r="K11" s="672"/>
      <c r="L11" s="670"/>
      <c r="M11" s="670"/>
      <c r="N11" s="670"/>
      <c r="O11" s="670"/>
      <c r="P11" s="670"/>
      <c r="Q11" s="670"/>
      <c r="R11" s="670"/>
      <c r="S11" s="670"/>
      <c r="T11" s="670"/>
      <c r="U11" s="670"/>
      <c r="V11" s="670"/>
      <c r="W11" s="670"/>
    </row>
    <row r="12" spans="1:23" ht="12.75" customHeight="1" x14ac:dyDescent="0.25">
      <c r="A12" s="670"/>
      <c r="B12" s="679" t="s">
        <v>889</v>
      </c>
      <c r="C12" s="835">
        <v>44461</v>
      </c>
      <c r="D12" s="836">
        <v>1.4</v>
      </c>
      <c r="E12" s="836">
        <v>1.4476</v>
      </c>
      <c r="F12" s="680">
        <v>6.6799999999999998E-2</v>
      </c>
      <c r="G12" s="682">
        <v>1.38</v>
      </c>
      <c r="H12" s="1147"/>
      <c r="I12" s="1147"/>
      <c r="J12" s="1147"/>
      <c r="K12" s="672"/>
      <c r="L12" s="670"/>
      <c r="M12" s="670"/>
      <c r="N12" s="670"/>
      <c r="O12" s="670"/>
      <c r="P12" s="670"/>
      <c r="Q12" s="670"/>
      <c r="R12" s="670"/>
      <c r="S12" s="670"/>
      <c r="T12" s="670"/>
      <c r="U12" s="670"/>
      <c r="V12" s="670"/>
      <c r="W12" s="670"/>
    </row>
    <row r="13" spans="1:23" ht="12.75" customHeight="1" x14ac:dyDescent="0.25">
      <c r="A13" s="670"/>
      <c r="B13" s="679" t="s">
        <v>776</v>
      </c>
      <c r="C13" s="835">
        <v>44825</v>
      </c>
      <c r="D13" s="836">
        <v>1.4</v>
      </c>
      <c r="E13" s="836">
        <v>1.4147000000000001</v>
      </c>
      <c r="F13" s="680">
        <v>7.2599999999999998E-2</v>
      </c>
      <c r="G13" s="682">
        <v>1.38</v>
      </c>
      <c r="H13" s="1147"/>
      <c r="I13" s="1147"/>
      <c r="J13" s="1147"/>
      <c r="K13" s="672"/>
      <c r="L13" s="670"/>
      <c r="M13" s="670"/>
      <c r="N13" s="670"/>
      <c r="O13" s="670"/>
      <c r="P13" s="670"/>
      <c r="Q13" s="670"/>
      <c r="R13" s="670"/>
      <c r="S13" s="670"/>
      <c r="T13" s="670"/>
      <c r="U13" s="670"/>
      <c r="V13" s="670"/>
      <c r="W13" s="670"/>
    </row>
    <row r="14" spans="1:23" ht="12.75" customHeight="1" x14ac:dyDescent="0.25">
      <c r="A14" s="670"/>
      <c r="B14" s="679" t="s">
        <v>75</v>
      </c>
      <c r="C14" s="835">
        <v>45180</v>
      </c>
      <c r="D14" s="836">
        <v>1.4</v>
      </c>
      <c r="E14" s="837">
        <v>1.4097999999999999</v>
      </c>
      <c r="F14" s="680">
        <v>7.2800000000000004E-2</v>
      </c>
      <c r="G14" s="682">
        <v>1.3793191477500002</v>
      </c>
      <c r="H14" s="1147"/>
      <c r="I14" s="1147"/>
      <c r="J14" s="1147"/>
      <c r="K14" s="672"/>
      <c r="L14" s="670"/>
      <c r="M14" s="670"/>
      <c r="N14" s="670"/>
      <c r="O14" s="670"/>
      <c r="P14" s="670"/>
      <c r="Q14" s="670"/>
      <c r="R14" s="670"/>
      <c r="S14" s="670"/>
      <c r="T14" s="670"/>
      <c r="U14" s="670"/>
      <c r="V14" s="670"/>
      <c r="W14" s="670"/>
    </row>
    <row r="15" spans="1:23" ht="12.75" customHeight="1" x14ac:dyDescent="0.25">
      <c r="A15" s="670"/>
      <c r="B15" s="679" t="s">
        <v>76</v>
      </c>
      <c r="C15" s="835">
        <v>45559</v>
      </c>
      <c r="D15" s="836">
        <v>1.45</v>
      </c>
      <c r="E15" s="682">
        <v>1.4029438750000001</v>
      </c>
      <c r="F15" s="838">
        <v>6.9599999999999995E-2</v>
      </c>
      <c r="G15" s="682">
        <v>1.3899358819975003</v>
      </c>
      <c r="H15" s="1147"/>
      <c r="I15" s="1147"/>
      <c r="J15" s="1147"/>
      <c r="K15" s="672"/>
      <c r="L15" s="670"/>
      <c r="M15" s="670"/>
      <c r="N15" s="670"/>
      <c r="O15" s="670"/>
      <c r="P15" s="670"/>
      <c r="Q15" s="670"/>
      <c r="R15" s="670"/>
      <c r="S15" s="670"/>
      <c r="T15" s="670"/>
      <c r="U15" s="670"/>
      <c r="V15" s="670"/>
      <c r="W15" s="670"/>
    </row>
    <row r="16" spans="1:23" ht="12.75" customHeight="1" x14ac:dyDescent="0.25">
      <c r="A16" s="670"/>
      <c r="B16" s="679" t="s">
        <v>77</v>
      </c>
      <c r="C16" s="679"/>
      <c r="D16" s="682">
        <v>1.3911436494675002</v>
      </c>
      <c r="E16" s="682">
        <f>+D16</f>
        <v>1.3911436494675002</v>
      </c>
      <c r="F16" s="680">
        <v>6.7799999999999999E-2</v>
      </c>
      <c r="G16" s="682">
        <f t="shared" ref="G16:G21" si="0">G15</f>
        <v>1.3899358819975003</v>
      </c>
      <c r="H16" s="1147"/>
      <c r="I16" s="1147"/>
      <c r="J16" s="1147"/>
      <c r="K16" s="672"/>
      <c r="L16" s="670"/>
      <c r="M16" s="670"/>
      <c r="N16" s="670"/>
      <c r="O16" s="670"/>
      <c r="P16" s="670"/>
      <c r="Q16" s="670"/>
      <c r="R16" s="670"/>
      <c r="S16" s="670"/>
      <c r="T16" s="670"/>
      <c r="U16" s="670"/>
      <c r="V16" s="670"/>
      <c r="W16" s="670"/>
    </row>
    <row r="17" spans="1:23" ht="12.75" customHeight="1" x14ac:dyDescent="0.25">
      <c r="A17" s="670"/>
      <c r="B17" s="679" t="s">
        <v>87</v>
      </c>
      <c r="C17" s="679"/>
      <c r="D17" s="821">
        <v>1.3926436494675003</v>
      </c>
      <c r="E17" s="682">
        <f t="shared" ref="E17:E21" si="1">+D17</f>
        <v>1.3926436494675003</v>
      </c>
      <c r="F17" s="680">
        <v>6.7799999999999999E-2</v>
      </c>
      <c r="G17" s="682">
        <f t="shared" si="0"/>
        <v>1.3899358819975003</v>
      </c>
      <c r="H17" s="1147"/>
      <c r="I17" s="1147"/>
      <c r="J17" s="1147"/>
      <c r="K17" s="672"/>
      <c r="L17" s="670"/>
      <c r="M17" s="670"/>
      <c r="N17" s="670"/>
      <c r="O17" s="670"/>
      <c r="P17" s="670"/>
      <c r="Q17" s="670"/>
      <c r="R17" s="670"/>
      <c r="S17" s="670"/>
      <c r="T17" s="670"/>
      <c r="U17" s="670"/>
      <c r="V17" s="670"/>
      <c r="W17" s="670"/>
    </row>
    <row r="18" spans="1:23" ht="12.75" customHeight="1" x14ac:dyDescent="0.25">
      <c r="A18" s="670"/>
      <c r="B18" s="679" t="s">
        <v>88</v>
      </c>
      <c r="C18" s="679"/>
      <c r="D18" s="821">
        <v>1.4224623994675003</v>
      </c>
      <c r="E18" s="682">
        <f t="shared" si="1"/>
        <v>1.4224623994675003</v>
      </c>
      <c r="F18" s="680">
        <v>6.7799999999999999E-2</v>
      </c>
      <c r="G18" s="682">
        <f t="shared" si="0"/>
        <v>1.3899358819975003</v>
      </c>
      <c r="H18" s="1147"/>
      <c r="I18" s="1147"/>
      <c r="J18" s="1147"/>
      <c r="K18" s="672"/>
      <c r="L18" s="670"/>
      <c r="M18" s="670"/>
      <c r="N18" s="670"/>
      <c r="O18" s="670"/>
      <c r="P18" s="670"/>
      <c r="Q18" s="670"/>
      <c r="R18" s="670"/>
      <c r="S18" s="670"/>
      <c r="T18" s="670"/>
      <c r="U18" s="670"/>
      <c r="V18" s="670"/>
      <c r="W18" s="670"/>
    </row>
    <row r="19" spans="1:23" ht="12.75" customHeight="1" x14ac:dyDescent="0.25">
      <c r="A19" s="670"/>
      <c r="B19" s="679" t="s">
        <v>89</v>
      </c>
      <c r="C19" s="679"/>
      <c r="D19" s="821">
        <v>1.4234623994675002</v>
      </c>
      <c r="E19" s="682">
        <f t="shared" si="1"/>
        <v>1.4234623994675002</v>
      </c>
      <c r="F19" s="680">
        <v>6.7799999999999999E-2</v>
      </c>
      <c r="G19" s="682">
        <f t="shared" si="0"/>
        <v>1.3899358819975003</v>
      </c>
      <c r="H19" s="1147"/>
      <c r="I19" s="1147"/>
      <c r="J19" s="1147"/>
      <c r="K19" s="672"/>
      <c r="L19" s="670"/>
      <c r="M19" s="670"/>
      <c r="N19" s="670"/>
      <c r="O19" s="670"/>
      <c r="P19" s="670"/>
      <c r="Q19" s="670"/>
      <c r="R19" s="670"/>
      <c r="S19" s="670"/>
      <c r="T19" s="670"/>
      <c r="U19" s="670"/>
      <c r="V19" s="670"/>
      <c r="W19" s="670"/>
    </row>
    <row r="20" spans="1:23" ht="12.75" customHeight="1" x14ac:dyDescent="0.25">
      <c r="A20" s="670"/>
      <c r="B20" s="679" t="s">
        <v>90</v>
      </c>
      <c r="C20" s="679"/>
      <c r="D20" s="821">
        <v>1.4309123994675002</v>
      </c>
      <c r="E20" s="682">
        <f t="shared" si="1"/>
        <v>1.4309123994675002</v>
      </c>
      <c r="F20" s="680">
        <v>6.7799999999999999E-2</v>
      </c>
      <c r="G20" s="682">
        <f t="shared" si="0"/>
        <v>1.3899358819975003</v>
      </c>
      <c r="H20" s="1147"/>
      <c r="I20" s="1147"/>
      <c r="J20" s="1147"/>
      <c r="K20" s="672"/>
      <c r="L20" s="670"/>
      <c r="M20" s="670"/>
      <c r="N20" s="670"/>
      <c r="O20" s="670"/>
      <c r="P20" s="670"/>
      <c r="Q20" s="670"/>
      <c r="R20" s="670"/>
      <c r="S20" s="670"/>
      <c r="T20" s="670"/>
      <c r="U20" s="670"/>
      <c r="V20" s="670"/>
      <c r="W20" s="670"/>
    </row>
    <row r="21" spans="1:23" ht="12.75" customHeight="1" x14ac:dyDescent="0.25">
      <c r="A21" s="670"/>
      <c r="B21" s="679" t="s">
        <v>91</v>
      </c>
      <c r="C21" s="679"/>
      <c r="D21" s="821">
        <v>1.4337467994675004</v>
      </c>
      <c r="E21" s="682">
        <f t="shared" si="1"/>
        <v>1.4337467994675004</v>
      </c>
      <c r="F21" s="680">
        <v>6.7799999999999999E-2</v>
      </c>
      <c r="G21" s="682">
        <f t="shared" si="0"/>
        <v>1.3899358819975003</v>
      </c>
      <c r="H21" s="1147"/>
      <c r="I21" s="1147"/>
      <c r="J21" s="1147"/>
      <c r="K21" s="672"/>
      <c r="L21" s="670"/>
      <c r="M21" s="670"/>
      <c r="N21" s="670"/>
      <c r="O21" s="670"/>
      <c r="P21" s="670"/>
      <c r="Q21" s="670"/>
      <c r="R21" s="670"/>
      <c r="S21" s="670"/>
      <c r="T21" s="670"/>
      <c r="U21" s="670"/>
      <c r="V21" s="670"/>
      <c r="W21" s="670"/>
    </row>
    <row r="22" spans="1:23" ht="12.75" customHeight="1" x14ac:dyDescent="0.25">
      <c r="A22" s="670"/>
      <c r="B22" s="679"/>
      <c r="C22" s="679"/>
      <c r="D22" s="679"/>
      <c r="E22" s="679"/>
      <c r="F22" s="680"/>
      <c r="G22" s="682"/>
      <c r="H22" s="1147"/>
      <c r="I22" s="1147"/>
      <c r="J22" s="1147"/>
      <c r="K22" s="672"/>
      <c r="L22" s="670"/>
      <c r="M22" s="670"/>
      <c r="N22" s="670"/>
      <c r="O22" s="670"/>
      <c r="P22" s="670"/>
      <c r="Q22" s="670"/>
      <c r="R22" s="670"/>
      <c r="S22" s="670"/>
      <c r="T22" s="670"/>
      <c r="U22" s="670"/>
      <c r="V22" s="670"/>
      <c r="W22" s="670"/>
    </row>
    <row r="23" spans="1:23" ht="12.75" customHeight="1" x14ac:dyDescent="0.25">
      <c r="A23" s="670"/>
      <c r="B23" s="1148" t="s">
        <v>897</v>
      </c>
      <c r="C23" s="1149"/>
      <c r="D23" s="1149"/>
      <c r="E23" s="1149"/>
      <c r="F23" s="1149"/>
      <c r="G23" s="829">
        <f>SUM(G4:G21)</f>
        <v>26.778870321732505</v>
      </c>
      <c r="H23" s="1147"/>
      <c r="I23" s="1147"/>
      <c r="J23" s="1147"/>
      <c r="K23" s="672"/>
      <c r="L23" s="670"/>
      <c r="M23" s="670"/>
      <c r="N23" s="670"/>
      <c r="O23" s="670"/>
      <c r="P23" s="670"/>
      <c r="Q23" s="670"/>
      <c r="R23" s="670"/>
      <c r="S23" s="670"/>
      <c r="T23" s="670"/>
      <c r="U23" s="670"/>
      <c r="V23" s="670"/>
      <c r="W23" s="670"/>
    </row>
    <row r="24" spans="1:23" ht="12.75" customHeight="1" x14ac:dyDescent="0.25">
      <c r="A24" s="670"/>
      <c r="B24" s="670"/>
      <c r="C24" s="670"/>
      <c r="D24" s="670"/>
      <c r="E24" s="670"/>
      <c r="F24" s="670"/>
      <c r="G24" s="822"/>
      <c r="H24" s="670"/>
      <c r="I24" s="670"/>
      <c r="J24" s="670"/>
      <c r="K24" s="670"/>
      <c r="L24" s="670"/>
      <c r="M24" s="670"/>
      <c r="N24" s="670"/>
      <c r="O24" s="670"/>
      <c r="P24" s="670"/>
      <c r="Q24" s="670"/>
      <c r="R24" s="670"/>
      <c r="S24" s="670"/>
      <c r="T24" s="670"/>
      <c r="U24" s="670"/>
      <c r="V24" s="670"/>
      <c r="W24" s="670"/>
    </row>
    <row r="25" spans="1:23" ht="12.75" customHeight="1" x14ac:dyDescent="0.25">
      <c r="A25" s="670"/>
      <c r="B25" s="670"/>
      <c r="C25" s="670"/>
      <c r="D25" s="670"/>
      <c r="E25" s="670"/>
      <c r="F25" s="670"/>
      <c r="G25" s="670"/>
      <c r="H25" s="670"/>
      <c r="I25" s="670"/>
      <c r="J25" s="670"/>
      <c r="K25" s="670"/>
      <c r="L25" s="670"/>
      <c r="M25" s="670"/>
      <c r="N25" s="670"/>
      <c r="O25" s="670"/>
      <c r="P25" s="670"/>
      <c r="Q25" s="670"/>
      <c r="R25" s="670"/>
      <c r="S25" s="670"/>
      <c r="T25" s="670"/>
      <c r="U25" s="670"/>
      <c r="V25" s="670"/>
      <c r="W25" s="670"/>
    </row>
    <row r="26" spans="1:23" s="824" customFormat="1" ht="32.4" customHeight="1" x14ac:dyDescent="0.25">
      <c r="A26" s="823"/>
      <c r="B26" s="681" t="s">
        <v>711</v>
      </c>
      <c r="C26" s="673" t="s">
        <v>883</v>
      </c>
      <c r="D26" s="681" t="s">
        <v>886</v>
      </c>
      <c r="E26" s="681" t="s">
        <v>1035</v>
      </c>
      <c r="F26" s="681" t="s">
        <v>75</v>
      </c>
      <c r="G26" s="681" t="s">
        <v>76</v>
      </c>
      <c r="H26" s="681" t="s">
        <v>77</v>
      </c>
      <c r="I26" s="681" t="s">
        <v>87</v>
      </c>
      <c r="J26" s="681" t="s">
        <v>88</v>
      </c>
      <c r="K26" s="681" t="s">
        <v>89</v>
      </c>
      <c r="L26" s="681" t="s">
        <v>90</v>
      </c>
      <c r="M26" s="681" t="s">
        <v>91</v>
      </c>
      <c r="P26" s="823"/>
      <c r="Q26" s="823"/>
      <c r="R26" s="823"/>
      <c r="S26" s="823"/>
      <c r="T26" s="823"/>
      <c r="U26" s="823"/>
      <c r="V26" s="823"/>
      <c r="W26" s="823"/>
    </row>
    <row r="27" spans="1:23" ht="13.2" x14ac:dyDescent="0.25">
      <c r="A27" s="670"/>
      <c r="B27" s="674" t="s">
        <v>890</v>
      </c>
      <c r="C27" s="675">
        <v>41857</v>
      </c>
      <c r="D27" s="825">
        <v>8.2799999999999999E-2</v>
      </c>
      <c r="E27" s="819">
        <f>0.45+1.38+1.39</f>
        <v>3.2199999999999998</v>
      </c>
      <c r="F27" s="821">
        <f t="shared" ref="F27:M27" si="2">+$E27*$D27</f>
        <v>0.26661599999999996</v>
      </c>
      <c r="G27" s="821">
        <f t="shared" si="2"/>
        <v>0.26661599999999996</v>
      </c>
      <c r="H27" s="821">
        <f t="shared" si="2"/>
        <v>0.26661599999999996</v>
      </c>
      <c r="I27" s="821">
        <f t="shared" si="2"/>
        <v>0.26661599999999996</v>
      </c>
      <c r="J27" s="821">
        <f t="shared" si="2"/>
        <v>0.26661599999999996</v>
      </c>
      <c r="K27" s="821">
        <f t="shared" si="2"/>
        <v>0.26661599999999996</v>
      </c>
      <c r="L27" s="821">
        <f t="shared" si="2"/>
        <v>0.26661599999999996</v>
      </c>
      <c r="M27" s="821">
        <f t="shared" si="2"/>
        <v>0.26661599999999996</v>
      </c>
      <c r="N27" s="670"/>
      <c r="O27" s="670"/>
      <c r="P27" s="670"/>
      <c r="Q27" s="670"/>
      <c r="R27" s="670"/>
      <c r="S27" s="670"/>
      <c r="T27" s="670"/>
      <c r="U27" s="670"/>
      <c r="V27" s="670"/>
      <c r="W27" s="670"/>
    </row>
    <row r="28" spans="1:23" ht="13.2" x14ac:dyDescent="0.25">
      <c r="A28" s="670"/>
      <c r="B28" s="676" t="s">
        <v>891</v>
      </c>
      <c r="C28" s="677">
        <v>41911</v>
      </c>
      <c r="D28" s="825">
        <v>8.3299999999999999E-2</v>
      </c>
      <c r="E28" s="678">
        <v>1.39</v>
      </c>
      <c r="F28" s="821">
        <f t="shared" ref="F28:M32" si="3">+$E28*$D28</f>
        <v>0.11578699999999999</v>
      </c>
      <c r="G28" s="821">
        <f t="shared" si="3"/>
        <v>0.11578699999999999</v>
      </c>
      <c r="H28" s="821">
        <f t="shared" si="3"/>
        <v>0.11578699999999999</v>
      </c>
      <c r="I28" s="821">
        <f t="shared" si="3"/>
        <v>0.11578699999999999</v>
      </c>
      <c r="J28" s="821">
        <f t="shared" si="3"/>
        <v>0.11578699999999999</v>
      </c>
      <c r="K28" s="821">
        <f t="shared" si="3"/>
        <v>0.11578699999999999</v>
      </c>
      <c r="L28" s="821">
        <f t="shared" si="3"/>
        <v>0.11578699999999999</v>
      </c>
      <c r="M28" s="821">
        <f t="shared" si="3"/>
        <v>0.11578699999999999</v>
      </c>
      <c r="N28" s="670"/>
      <c r="O28" s="670"/>
      <c r="P28" s="670"/>
      <c r="Q28" s="670"/>
      <c r="R28" s="670"/>
      <c r="S28" s="670"/>
      <c r="T28" s="670"/>
      <c r="U28" s="670"/>
      <c r="V28" s="670"/>
      <c r="W28" s="670"/>
    </row>
    <row r="29" spans="1:23" ht="13.2" x14ac:dyDescent="0.25">
      <c r="A29" s="670"/>
      <c r="B29" s="676" t="s">
        <v>892</v>
      </c>
      <c r="C29" s="677">
        <v>42277</v>
      </c>
      <c r="D29" s="825">
        <v>8.2799999999999999E-2</v>
      </c>
      <c r="E29" s="678">
        <v>1.39</v>
      </c>
      <c r="F29" s="821">
        <f t="shared" si="3"/>
        <v>0.11509199999999999</v>
      </c>
      <c r="G29" s="821">
        <f t="shared" si="3"/>
        <v>0.11509199999999999</v>
      </c>
      <c r="H29" s="821">
        <f t="shared" si="3"/>
        <v>0.11509199999999999</v>
      </c>
      <c r="I29" s="821">
        <f t="shared" si="3"/>
        <v>0.11509199999999999</v>
      </c>
      <c r="J29" s="821">
        <f t="shared" si="3"/>
        <v>0.11509199999999999</v>
      </c>
      <c r="K29" s="821">
        <f t="shared" si="3"/>
        <v>0.11509199999999999</v>
      </c>
      <c r="L29" s="821">
        <f t="shared" si="3"/>
        <v>0.11509199999999999</v>
      </c>
      <c r="M29" s="821">
        <f t="shared" si="3"/>
        <v>0.11509199999999999</v>
      </c>
      <c r="N29" s="670"/>
      <c r="O29" s="670"/>
      <c r="P29" s="670"/>
      <c r="Q29" s="670"/>
      <c r="R29" s="670"/>
      <c r="S29" s="670"/>
      <c r="T29" s="670"/>
      <c r="U29" s="670"/>
      <c r="V29" s="670"/>
      <c r="W29" s="670"/>
    </row>
    <row r="30" spans="1:23" ht="13.2" x14ac:dyDescent="0.25">
      <c r="A30" s="670"/>
      <c r="B30" s="676" t="s">
        <v>893</v>
      </c>
      <c r="C30" s="677">
        <v>42711</v>
      </c>
      <c r="D30" s="825">
        <v>9.2299999999999993E-2</v>
      </c>
      <c r="E30" s="678">
        <v>1.39</v>
      </c>
      <c r="F30" s="821">
        <f t="shared" si="3"/>
        <v>0.12829699999999999</v>
      </c>
      <c r="G30" s="821">
        <f t="shared" si="3"/>
        <v>0.12829699999999999</v>
      </c>
      <c r="H30" s="821">
        <f t="shared" si="3"/>
        <v>0.12829699999999999</v>
      </c>
      <c r="I30" s="821">
        <f t="shared" si="3"/>
        <v>0.12829699999999999</v>
      </c>
      <c r="J30" s="821">
        <f t="shared" si="3"/>
        <v>0.12829699999999999</v>
      </c>
      <c r="K30" s="821">
        <f t="shared" si="3"/>
        <v>0.12829699999999999</v>
      </c>
      <c r="L30" s="821">
        <f t="shared" si="3"/>
        <v>0.12829699999999999</v>
      </c>
      <c r="M30" s="821">
        <f t="shared" si="3"/>
        <v>0.12829699999999999</v>
      </c>
      <c r="N30" s="670"/>
      <c r="O30" s="670"/>
      <c r="P30" s="670"/>
      <c r="Q30" s="670"/>
      <c r="R30" s="670"/>
      <c r="S30" s="670"/>
      <c r="T30" s="670"/>
      <c r="U30" s="670"/>
      <c r="V30" s="670"/>
      <c r="W30" s="670"/>
    </row>
    <row r="31" spans="1:23" ht="13.2" x14ac:dyDescent="0.25">
      <c r="A31" s="670"/>
      <c r="B31" s="676" t="s">
        <v>894</v>
      </c>
      <c r="C31" s="677">
        <v>43003</v>
      </c>
      <c r="D31" s="825">
        <v>8.2799999999999999E-2</v>
      </c>
      <c r="E31" s="678">
        <v>1.38</v>
      </c>
      <c r="F31" s="821">
        <f t="shared" si="3"/>
        <v>0.11426399999999999</v>
      </c>
      <c r="G31" s="821">
        <f t="shared" si="3"/>
        <v>0.11426399999999999</v>
      </c>
      <c r="H31" s="821">
        <f t="shared" si="3"/>
        <v>0.11426399999999999</v>
      </c>
      <c r="I31" s="821">
        <f t="shared" si="3"/>
        <v>0.11426399999999999</v>
      </c>
      <c r="J31" s="821">
        <f t="shared" si="3"/>
        <v>0.11426399999999999</v>
      </c>
      <c r="K31" s="821">
        <f t="shared" si="3"/>
        <v>0.11426399999999999</v>
      </c>
      <c r="L31" s="821">
        <f t="shared" si="3"/>
        <v>0.11426399999999999</v>
      </c>
      <c r="M31" s="821">
        <f t="shared" si="3"/>
        <v>0.11426399999999999</v>
      </c>
      <c r="N31" s="670"/>
      <c r="O31" s="670"/>
      <c r="P31" s="670"/>
      <c r="Q31" s="670"/>
      <c r="R31" s="670"/>
      <c r="S31" s="670"/>
      <c r="T31" s="670"/>
      <c r="U31" s="670"/>
      <c r="V31" s="670"/>
      <c r="W31" s="670"/>
    </row>
    <row r="32" spans="1:23" ht="13.2" x14ac:dyDescent="0.25">
      <c r="A32" s="670"/>
      <c r="B32" s="676" t="s">
        <v>895</v>
      </c>
      <c r="C32" s="677">
        <v>43368</v>
      </c>
      <c r="D32" s="825">
        <v>8.3199999999999996E-2</v>
      </c>
      <c r="E32" s="678">
        <v>1.38</v>
      </c>
      <c r="F32" s="821">
        <f t="shared" si="3"/>
        <v>0.11481599999999999</v>
      </c>
      <c r="G32" s="821">
        <f t="shared" si="3"/>
        <v>0.11481599999999999</v>
      </c>
      <c r="H32" s="821">
        <f t="shared" si="3"/>
        <v>0.11481599999999999</v>
      </c>
      <c r="I32" s="821">
        <f t="shared" si="3"/>
        <v>0.11481599999999999</v>
      </c>
      <c r="J32" s="821">
        <f t="shared" si="3"/>
        <v>0.11481599999999999</v>
      </c>
      <c r="K32" s="821">
        <f t="shared" si="3"/>
        <v>0.11481599999999999</v>
      </c>
      <c r="L32" s="821">
        <f t="shared" si="3"/>
        <v>0.11481599999999999</v>
      </c>
      <c r="M32" s="821">
        <f t="shared" si="3"/>
        <v>0.11481599999999999</v>
      </c>
      <c r="N32" s="670"/>
      <c r="O32" s="670"/>
      <c r="P32" s="670"/>
      <c r="Q32" s="670"/>
      <c r="R32" s="670"/>
      <c r="S32" s="670"/>
      <c r="T32" s="670"/>
      <c r="U32" s="670"/>
      <c r="V32" s="670"/>
      <c r="W32" s="670"/>
    </row>
    <row r="33" spans="1:23" ht="12.75" customHeight="1" x14ac:dyDescent="0.25">
      <c r="A33" s="670"/>
      <c r="B33" s="679" t="s">
        <v>896</v>
      </c>
      <c r="C33" s="677">
        <v>43738</v>
      </c>
      <c r="D33" s="825">
        <f t="shared" ref="D33:E35" si="4">+F10</f>
        <v>7.7299999999999994E-2</v>
      </c>
      <c r="E33" s="821">
        <f t="shared" si="4"/>
        <v>1.38</v>
      </c>
      <c r="F33" s="821">
        <f t="shared" ref="F33:M36" si="5">+$E33*$D33</f>
        <v>0.10667399999999998</v>
      </c>
      <c r="G33" s="821">
        <f t="shared" si="5"/>
        <v>0.10667399999999998</v>
      </c>
      <c r="H33" s="821">
        <f t="shared" si="5"/>
        <v>0.10667399999999998</v>
      </c>
      <c r="I33" s="821">
        <f t="shared" si="5"/>
        <v>0.10667399999999998</v>
      </c>
      <c r="J33" s="821">
        <f t="shared" si="5"/>
        <v>0.10667399999999998</v>
      </c>
      <c r="K33" s="821">
        <f t="shared" si="5"/>
        <v>0.10667399999999998</v>
      </c>
      <c r="L33" s="821">
        <f t="shared" si="5"/>
        <v>0.10667399999999998</v>
      </c>
      <c r="M33" s="821">
        <f t="shared" si="5"/>
        <v>0.10667399999999998</v>
      </c>
      <c r="N33" s="670"/>
      <c r="O33" s="670"/>
      <c r="P33" s="670"/>
      <c r="Q33" s="670"/>
      <c r="R33" s="670"/>
      <c r="S33" s="670"/>
      <c r="T33" s="670"/>
      <c r="U33" s="670"/>
      <c r="V33" s="670"/>
      <c r="W33" s="670"/>
    </row>
    <row r="34" spans="1:23" ht="12.75" customHeight="1" x14ac:dyDescent="0.25">
      <c r="A34" s="670"/>
      <c r="B34" s="679" t="s">
        <v>888</v>
      </c>
      <c r="C34" s="677">
        <v>44095</v>
      </c>
      <c r="D34" s="825">
        <f t="shared" si="4"/>
        <v>6.5699999999999995E-2</v>
      </c>
      <c r="E34" s="821">
        <f t="shared" si="4"/>
        <v>1.38</v>
      </c>
      <c r="F34" s="821">
        <f t="shared" si="5"/>
        <v>9.0665999999999983E-2</v>
      </c>
      <c r="G34" s="821">
        <f t="shared" si="5"/>
        <v>9.0665999999999983E-2</v>
      </c>
      <c r="H34" s="821">
        <f t="shared" si="5"/>
        <v>9.0665999999999983E-2</v>
      </c>
      <c r="I34" s="821">
        <f t="shared" si="5"/>
        <v>9.0665999999999983E-2</v>
      </c>
      <c r="J34" s="821">
        <f t="shared" si="5"/>
        <v>9.0665999999999983E-2</v>
      </c>
      <c r="K34" s="821">
        <f t="shared" si="5"/>
        <v>9.0665999999999983E-2</v>
      </c>
      <c r="L34" s="821">
        <f t="shared" si="5"/>
        <v>9.0665999999999983E-2</v>
      </c>
      <c r="M34" s="821">
        <f t="shared" si="5"/>
        <v>9.0665999999999983E-2</v>
      </c>
      <c r="N34" s="670"/>
      <c r="O34" s="670"/>
      <c r="P34" s="670"/>
      <c r="Q34" s="670"/>
      <c r="R34" s="670"/>
      <c r="S34" s="670"/>
      <c r="T34" s="670"/>
      <c r="U34" s="670"/>
      <c r="V34" s="670"/>
      <c r="W34" s="670"/>
    </row>
    <row r="35" spans="1:23" ht="12.75" customHeight="1" x14ac:dyDescent="0.25">
      <c r="A35" s="670"/>
      <c r="B35" s="679" t="s">
        <v>889</v>
      </c>
      <c r="C35" s="677">
        <v>44461</v>
      </c>
      <c r="D35" s="825">
        <f t="shared" si="4"/>
        <v>6.6799999999999998E-2</v>
      </c>
      <c r="E35" s="821">
        <f t="shared" si="4"/>
        <v>1.38</v>
      </c>
      <c r="F35" s="821">
        <f t="shared" si="5"/>
        <v>9.2183999999999988E-2</v>
      </c>
      <c r="G35" s="821">
        <f t="shared" si="5"/>
        <v>9.2183999999999988E-2</v>
      </c>
      <c r="H35" s="821">
        <f t="shared" si="5"/>
        <v>9.2183999999999988E-2</v>
      </c>
      <c r="I35" s="821">
        <f t="shared" si="5"/>
        <v>9.2183999999999988E-2</v>
      </c>
      <c r="J35" s="821">
        <f t="shared" si="5"/>
        <v>9.2183999999999988E-2</v>
      </c>
      <c r="K35" s="821">
        <f t="shared" si="5"/>
        <v>9.2183999999999988E-2</v>
      </c>
      <c r="L35" s="821">
        <f t="shared" si="5"/>
        <v>9.2183999999999988E-2</v>
      </c>
      <c r="M35" s="821">
        <f t="shared" si="5"/>
        <v>9.2183999999999988E-2</v>
      </c>
      <c r="N35" s="670"/>
      <c r="O35" s="670"/>
      <c r="P35" s="670"/>
      <c r="Q35" s="670"/>
      <c r="R35" s="670"/>
      <c r="S35" s="670"/>
      <c r="T35" s="670"/>
      <c r="U35" s="670"/>
      <c r="V35" s="670"/>
      <c r="W35" s="670"/>
    </row>
    <row r="36" spans="1:23" ht="27" customHeight="1" x14ac:dyDescent="0.25">
      <c r="A36" s="670"/>
      <c r="B36" s="826" t="s">
        <v>1036</v>
      </c>
      <c r="C36" s="827" t="s">
        <v>1037</v>
      </c>
      <c r="D36" s="825">
        <f>SUMPRODUCT(D27:D35,E27:E35)/SUM(E27:E35)</f>
        <v>8.0083694891532567E-2</v>
      </c>
      <c r="E36" s="821">
        <v>-1.61</v>
      </c>
      <c r="F36" s="821">
        <f t="shared" si="5"/>
        <v>-0.12893474877536745</v>
      </c>
      <c r="G36" s="821">
        <f t="shared" si="5"/>
        <v>-0.12893474877536745</v>
      </c>
      <c r="H36" s="821">
        <f t="shared" si="5"/>
        <v>-0.12893474877536745</v>
      </c>
      <c r="I36" s="821">
        <f t="shared" si="5"/>
        <v>-0.12893474877536745</v>
      </c>
      <c r="J36" s="821">
        <f t="shared" si="5"/>
        <v>-0.12893474877536745</v>
      </c>
      <c r="K36" s="821">
        <f t="shared" si="5"/>
        <v>-0.12893474877536745</v>
      </c>
      <c r="L36" s="821">
        <f t="shared" si="5"/>
        <v>-0.12893474877536745</v>
      </c>
      <c r="M36" s="821">
        <f t="shared" si="5"/>
        <v>-0.12893474877536745</v>
      </c>
      <c r="N36" s="670"/>
      <c r="O36" s="670"/>
      <c r="P36" s="670"/>
      <c r="Q36" s="670"/>
      <c r="R36" s="670"/>
      <c r="S36" s="670"/>
      <c r="T36" s="670"/>
      <c r="U36" s="670"/>
      <c r="V36" s="670"/>
      <c r="W36" s="670"/>
    </row>
    <row r="37" spans="1:23" ht="12.75" customHeight="1" x14ac:dyDescent="0.25">
      <c r="A37" s="670"/>
      <c r="B37" s="679" t="s">
        <v>776</v>
      </c>
      <c r="C37" s="677">
        <v>44825</v>
      </c>
      <c r="D37" s="828">
        <f t="shared" ref="D37:D45" si="6">+F13</f>
        <v>7.2599999999999998E-2</v>
      </c>
      <c r="E37" s="821">
        <f t="shared" ref="E37:E45" si="7">+G13</f>
        <v>1.38</v>
      </c>
      <c r="F37" s="821">
        <f>+$E37*$D37/2</f>
        <v>5.0093999999999993E-2</v>
      </c>
      <c r="G37" s="821">
        <f t="shared" ref="G37:M37" si="8">+$E37*$D37</f>
        <v>0.10018799999999999</v>
      </c>
      <c r="H37" s="821">
        <f t="shared" si="8"/>
        <v>0.10018799999999999</v>
      </c>
      <c r="I37" s="821">
        <f t="shared" si="8"/>
        <v>0.10018799999999999</v>
      </c>
      <c r="J37" s="821">
        <f t="shared" si="8"/>
        <v>0.10018799999999999</v>
      </c>
      <c r="K37" s="821">
        <f t="shared" si="8"/>
        <v>0.10018799999999999</v>
      </c>
      <c r="L37" s="821">
        <f t="shared" si="8"/>
        <v>0.10018799999999999</v>
      </c>
      <c r="M37" s="821">
        <f t="shared" si="8"/>
        <v>0.10018799999999999</v>
      </c>
      <c r="N37" s="670"/>
      <c r="O37" s="670"/>
      <c r="P37" s="670"/>
      <c r="Q37" s="670"/>
      <c r="R37" s="670"/>
      <c r="S37" s="670"/>
      <c r="T37" s="670"/>
      <c r="U37" s="670"/>
      <c r="V37" s="670"/>
      <c r="W37" s="670"/>
    </row>
    <row r="38" spans="1:23" ht="12.75" customHeight="1" x14ac:dyDescent="0.25">
      <c r="A38" s="670"/>
      <c r="B38" s="679" t="s">
        <v>75</v>
      </c>
      <c r="C38" s="677">
        <v>45180</v>
      </c>
      <c r="D38" s="828">
        <f t="shared" si="6"/>
        <v>7.2800000000000004E-2</v>
      </c>
      <c r="E38" s="821">
        <f t="shared" si="7"/>
        <v>1.3793191477500002</v>
      </c>
      <c r="F38" s="821"/>
      <c r="G38" s="821">
        <f>+$E38*$D38/2</f>
        <v>5.020721697810001E-2</v>
      </c>
      <c r="H38" s="821">
        <f t="shared" ref="H38:M38" si="9">+$E38*$D38</f>
        <v>0.10041443395620002</v>
      </c>
      <c r="I38" s="821">
        <f t="shared" si="9"/>
        <v>0.10041443395620002</v>
      </c>
      <c r="J38" s="821">
        <f t="shared" si="9"/>
        <v>0.10041443395620002</v>
      </c>
      <c r="K38" s="821">
        <f t="shared" si="9"/>
        <v>0.10041443395620002</v>
      </c>
      <c r="L38" s="821">
        <f t="shared" si="9"/>
        <v>0.10041443395620002</v>
      </c>
      <c r="M38" s="821">
        <f t="shared" si="9"/>
        <v>0.10041443395620002</v>
      </c>
      <c r="N38" s="670"/>
      <c r="O38" s="670"/>
      <c r="P38" s="670"/>
      <c r="Q38" s="670"/>
      <c r="R38" s="670"/>
      <c r="S38" s="670"/>
      <c r="T38" s="670"/>
      <c r="U38" s="670"/>
      <c r="V38" s="670"/>
      <c r="W38" s="670"/>
    </row>
    <row r="39" spans="1:23" ht="12.75" customHeight="1" x14ac:dyDescent="0.25">
      <c r="A39" s="670"/>
      <c r="B39" s="679" t="s">
        <v>76</v>
      </c>
      <c r="C39" s="841">
        <v>45559</v>
      </c>
      <c r="D39" s="828">
        <f t="shared" si="6"/>
        <v>6.9599999999999995E-2</v>
      </c>
      <c r="E39" s="821">
        <f t="shared" si="7"/>
        <v>1.3899358819975003</v>
      </c>
      <c r="F39" s="821"/>
      <c r="G39" s="821"/>
      <c r="H39" s="821">
        <f>+$E39*$D39/2</f>
        <v>4.8369768693513004E-2</v>
      </c>
      <c r="I39" s="821">
        <f>+$E39*$D39</f>
        <v>9.6739537387026009E-2</v>
      </c>
      <c r="J39" s="821">
        <f>+$E39*$D39</f>
        <v>9.6739537387026009E-2</v>
      </c>
      <c r="K39" s="821">
        <f>+$E39*$D39</f>
        <v>9.6739537387026009E-2</v>
      </c>
      <c r="L39" s="821">
        <f>+$E39*$D39</f>
        <v>9.6739537387026009E-2</v>
      </c>
      <c r="M39" s="821">
        <f>+$E39*$D39</f>
        <v>9.6739537387026009E-2</v>
      </c>
      <c r="N39" s="670"/>
      <c r="O39" s="670"/>
      <c r="P39" s="670"/>
      <c r="Q39" s="670"/>
      <c r="R39" s="670"/>
      <c r="S39" s="670"/>
      <c r="T39" s="670"/>
      <c r="U39" s="670"/>
      <c r="V39" s="670"/>
      <c r="W39" s="670"/>
    </row>
    <row r="40" spans="1:23" ht="12.75" customHeight="1" x14ac:dyDescent="0.25">
      <c r="A40" s="670"/>
      <c r="B40" s="679" t="s">
        <v>77</v>
      </c>
      <c r="C40" s="842"/>
      <c r="D40" s="828">
        <f t="shared" si="6"/>
        <v>6.7799999999999999E-2</v>
      </c>
      <c r="E40" s="821">
        <f t="shared" si="7"/>
        <v>1.3899358819975003</v>
      </c>
      <c r="F40" s="821"/>
      <c r="G40" s="821"/>
      <c r="H40" s="821"/>
      <c r="I40" s="821">
        <f>+$E40*$D40/2</f>
        <v>4.7118826399715256E-2</v>
      </c>
      <c r="J40" s="821">
        <f>+$E40*$D40</f>
        <v>9.4237652799430513E-2</v>
      </c>
      <c r="K40" s="821">
        <f>+$E40*$D40</f>
        <v>9.4237652799430513E-2</v>
      </c>
      <c r="L40" s="821">
        <f>+$E40*$D40</f>
        <v>9.4237652799430513E-2</v>
      </c>
      <c r="M40" s="821">
        <f>+$E40*$D40</f>
        <v>9.4237652799430513E-2</v>
      </c>
      <c r="N40" s="670"/>
      <c r="O40" s="670"/>
      <c r="P40" s="670"/>
      <c r="Q40" s="670"/>
      <c r="R40" s="670"/>
      <c r="S40" s="670"/>
      <c r="T40" s="670"/>
      <c r="U40" s="670"/>
      <c r="V40" s="670"/>
      <c r="W40" s="670"/>
    </row>
    <row r="41" spans="1:23" ht="12.75" customHeight="1" x14ac:dyDescent="0.25">
      <c r="A41" s="670"/>
      <c r="B41" s="679" t="s">
        <v>87</v>
      </c>
      <c r="C41" s="842"/>
      <c r="D41" s="828">
        <f t="shared" si="6"/>
        <v>6.7799999999999999E-2</v>
      </c>
      <c r="E41" s="821">
        <f t="shared" si="7"/>
        <v>1.3899358819975003</v>
      </c>
      <c r="F41" s="821"/>
      <c r="G41" s="821"/>
      <c r="H41" s="821"/>
      <c r="I41" s="821"/>
      <c r="J41" s="821">
        <f>+$E41*$D41/2</f>
        <v>4.7118826399715256E-2</v>
      </c>
      <c r="K41" s="821">
        <f>+$E41*$D41</f>
        <v>9.4237652799430513E-2</v>
      </c>
      <c r="L41" s="821">
        <f>+$E41*$D41</f>
        <v>9.4237652799430513E-2</v>
      </c>
      <c r="M41" s="821">
        <f>+$E41*$D41</f>
        <v>9.4237652799430513E-2</v>
      </c>
      <c r="N41" s="670"/>
      <c r="O41" s="670"/>
      <c r="P41" s="670"/>
      <c r="Q41" s="670"/>
      <c r="R41" s="670"/>
      <c r="S41" s="670"/>
      <c r="T41" s="670"/>
      <c r="U41" s="670"/>
      <c r="V41" s="670"/>
      <c r="W41" s="670"/>
    </row>
    <row r="42" spans="1:23" ht="12.75" customHeight="1" x14ac:dyDescent="0.25">
      <c r="A42" s="670"/>
      <c r="B42" s="679" t="s">
        <v>88</v>
      </c>
      <c r="C42" s="842"/>
      <c r="D42" s="828">
        <f t="shared" si="6"/>
        <v>6.7799999999999999E-2</v>
      </c>
      <c r="E42" s="821">
        <f t="shared" si="7"/>
        <v>1.3899358819975003</v>
      </c>
      <c r="F42" s="821"/>
      <c r="G42" s="821"/>
      <c r="H42" s="821"/>
      <c r="I42" s="821"/>
      <c r="J42" s="821"/>
      <c r="K42" s="821">
        <f>+$E42*$D42/2</f>
        <v>4.7118826399715256E-2</v>
      </c>
      <c r="L42" s="821">
        <f>+$E42*$D42</f>
        <v>9.4237652799430513E-2</v>
      </c>
      <c r="M42" s="821">
        <f>+$E42*$D42</f>
        <v>9.4237652799430513E-2</v>
      </c>
      <c r="N42" s="670"/>
      <c r="O42" s="670"/>
      <c r="P42" s="670"/>
      <c r="Q42" s="670"/>
      <c r="R42" s="670"/>
      <c r="S42" s="670"/>
      <c r="T42" s="670"/>
      <c r="U42" s="670"/>
      <c r="V42" s="670"/>
      <c r="W42" s="670"/>
    </row>
    <row r="43" spans="1:23" ht="12.75" customHeight="1" x14ac:dyDescent="0.25">
      <c r="A43" s="670"/>
      <c r="B43" s="679" t="s">
        <v>89</v>
      </c>
      <c r="C43" s="842"/>
      <c r="D43" s="828">
        <f t="shared" si="6"/>
        <v>6.7799999999999999E-2</v>
      </c>
      <c r="E43" s="821">
        <f t="shared" si="7"/>
        <v>1.3899358819975003</v>
      </c>
      <c r="F43" s="821"/>
      <c r="G43" s="821"/>
      <c r="H43" s="821"/>
      <c r="I43" s="821"/>
      <c r="J43" s="821"/>
      <c r="K43" s="821"/>
      <c r="L43" s="821">
        <f>+$E43*$D43/2</f>
        <v>4.7118826399715256E-2</v>
      </c>
      <c r="M43" s="821">
        <f>+$E43*$D43</f>
        <v>9.4237652799430513E-2</v>
      </c>
      <c r="N43" s="670"/>
      <c r="O43" s="670"/>
      <c r="P43" s="670"/>
      <c r="Q43" s="670"/>
      <c r="R43" s="670"/>
      <c r="S43" s="670"/>
      <c r="T43" s="670"/>
      <c r="U43" s="670"/>
      <c r="V43" s="670"/>
      <c r="W43" s="670"/>
    </row>
    <row r="44" spans="1:23" ht="12.75" customHeight="1" x14ac:dyDescent="0.25">
      <c r="A44" s="670"/>
      <c r="B44" s="679" t="s">
        <v>90</v>
      </c>
      <c r="C44" s="842"/>
      <c r="D44" s="828">
        <f t="shared" si="6"/>
        <v>6.7799999999999999E-2</v>
      </c>
      <c r="E44" s="821">
        <f t="shared" si="7"/>
        <v>1.3899358819975003</v>
      </c>
      <c r="F44" s="821"/>
      <c r="G44" s="821"/>
      <c r="H44" s="821"/>
      <c r="I44" s="821"/>
      <c r="J44" s="821"/>
      <c r="K44" s="821"/>
      <c r="L44" s="821"/>
      <c r="M44" s="821">
        <f>+$E44*$D44/2</f>
        <v>4.7118826399715256E-2</v>
      </c>
      <c r="N44" s="670"/>
      <c r="O44" s="670"/>
      <c r="P44" s="670"/>
      <c r="Q44" s="670"/>
      <c r="R44" s="670"/>
      <c r="S44" s="670"/>
      <c r="T44" s="670"/>
      <c r="U44" s="670"/>
      <c r="V44" s="670"/>
      <c r="W44" s="670"/>
    </row>
    <row r="45" spans="1:23" ht="12.75" customHeight="1" x14ac:dyDescent="0.25">
      <c r="A45" s="670"/>
      <c r="B45" s="679" t="s">
        <v>91</v>
      </c>
      <c r="C45" s="842"/>
      <c r="D45" s="828">
        <f t="shared" si="6"/>
        <v>6.7799999999999999E-2</v>
      </c>
      <c r="E45" s="821">
        <f t="shared" si="7"/>
        <v>1.3899358819975003</v>
      </c>
      <c r="F45" s="821"/>
      <c r="G45" s="821"/>
      <c r="H45" s="821"/>
      <c r="I45" s="821"/>
      <c r="J45" s="821"/>
      <c r="K45" s="821"/>
      <c r="L45" s="821"/>
      <c r="M45" s="821"/>
      <c r="N45" s="670"/>
      <c r="O45" s="670"/>
      <c r="P45" s="670"/>
      <c r="Q45" s="670"/>
      <c r="R45" s="670"/>
      <c r="S45" s="670"/>
      <c r="T45" s="670"/>
      <c r="U45" s="670"/>
      <c r="V45" s="670"/>
      <c r="W45" s="670"/>
    </row>
    <row r="46" spans="1:23" ht="12.75" customHeight="1" x14ac:dyDescent="0.25">
      <c r="A46" s="670"/>
      <c r="B46" s="679"/>
      <c r="D46" s="682"/>
      <c r="E46" s="829">
        <f>SUM(E27:E45)</f>
        <v>25.168870321732506</v>
      </c>
      <c r="F46" s="829">
        <f t="shared" ref="F46:M46" si="10">SUM(F27:F45)</f>
        <v>1.0655552512246327</v>
      </c>
      <c r="G46" s="829">
        <f t="shared" si="10"/>
        <v>1.1658564682027326</v>
      </c>
      <c r="H46" s="829">
        <f t="shared" si="10"/>
        <v>1.2644334538743456</v>
      </c>
      <c r="I46" s="829">
        <f t="shared" si="10"/>
        <v>1.3599220489675738</v>
      </c>
      <c r="J46" s="829">
        <f t="shared" si="10"/>
        <v>1.4541597017670043</v>
      </c>
      <c r="K46" s="829">
        <f t="shared" si="10"/>
        <v>1.5483973545664347</v>
      </c>
      <c r="L46" s="829">
        <f t="shared" si="10"/>
        <v>1.6426350073658651</v>
      </c>
      <c r="M46" s="829">
        <f t="shared" si="10"/>
        <v>1.7368726601652955</v>
      </c>
      <c r="N46" s="670"/>
      <c r="O46" s="670"/>
      <c r="P46" s="670"/>
      <c r="Q46" s="670"/>
      <c r="R46" s="670"/>
      <c r="S46" s="670"/>
      <c r="T46" s="670"/>
      <c r="U46" s="670"/>
      <c r="V46" s="670"/>
      <c r="W46" s="670"/>
    </row>
    <row r="47" spans="1:23" ht="12.75" customHeight="1" x14ac:dyDescent="0.25">
      <c r="A47" s="670"/>
      <c r="B47" s="670"/>
      <c r="C47" s="670"/>
      <c r="D47" s="670"/>
      <c r="E47" s="670"/>
      <c r="F47" s="670"/>
      <c r="G47" s="670"/>
      <c r="H47" s="670"/>
      <c r="I47" s="670"/>
      <c r="J47" s="670"/>
      <c r="K47" s="670"/>
      <c r="L47" s="670"/>
      <c r="M47" s="670"/>
      <c r="N47" s="670"/>
      <c r="O47" s="670"/>
      <c r="P47" s="670"/>
      <c r="Q47" s="670"/>
      <c r="R47" s="670"/>
      <c r="S47" s="670"/>
      <c r="T47" s="670"/>
      <c r="U47" s="670"/>
      <c r="V47" s="670"/>
      <c r="W47" s="670"/>
    </row>
    <row r="48" spans="1:23" ht="12.75" customHeight="1" x14ac:dyDescent="0.25">
      <c r="A48" s="670"/>
      <c r="B48" s="670"/>
      <c r="C48" s="670"/>
      <c r="D48" s="670"/>
      <c r="E48" s="670"/>
      <c r="F48" s="670"/>
      <c r="G48" s="670"/>
      <c r="H48" s="670"/>
      <c r="I48" s="670"/>
      <c r="J48" s="670"/>
      <c r="K48" s="670"/>
      <c r="L48" s="670"/>
      <c r="M48" s="670"/>
      <c r="N48" s="670"/>
      <c r="O48" s="670"/>
      <c r="P48" s="670"/>
      <c r="Q48" s="670"/>
      <c r="R48" s="670"/>
      <c r="S48" s="670"/>
      <c r="T48" s="670"/>
      <c r="U48" s="670"/>
      <c r="V48" s="670"/>
      <c r="W48" s="670"/>
    </row>
    <row r="49" spans="1:23" ht="12.75" customHeight="1" x14ac:dyDescent="0.25">
      <c r="A49" s="670"/>
      <c r="B49" s="670"/>
      <c r="C49" s="670"/>
      <c r="D49" s="670"/>
      <c r="E49" s="670"/>
      <c r="F49" s="670"/>
      <c r="G49" s="670"/>
      <c r="H49" s="670"/>
      <c r="I49" s="670"/>
      <c r="J49" s="670"/>
      <c r="K49" s="670"/>
      <c r="L49" s="670"/>
      <c r="M49" s="670"/>
      <c r="N49" s="670"/>
      <c r="O49" s="670"/>
      <c r="P49" s="670"/>
      <c r="Q49" s="670"/>
      <c r="R49" s="670"/>
      <c r="S49" s="670"/>
      <c r="T49" s="670"/>
      <c r="U49" s="670"/>
      <c r="V49" s="670"/>
      <c r="W49" s="670"/>
    </row>
    <row r="50" spans="1:23" ht="12.75" customHeight="1" x14ac:dyDescent="0.25">
      <c r="A50" s="670"/>
      <c r="B50" s="670"/>
      <c r="C50" s="670"/>
      <c r="D50" s="670"/>
      <c r="E50" s="670"/>
      <c r="F50" s="670"/>
      <c r="G50" s="670"/>
      <c r="H50" s="670"/>
      <c r="I50" s="670"/>
      <c r="J50" s="670"/>
      <c r="K50" s="670"/>
      <c r="L50" s="670"/>
      <c r="M50" s="670"/>
      <c r="N50" s="670"/>
      <c r="O50" s="670"/>
      <c r="P50" s="670"/>
      <c r="Q50" s="670"/>
      <c r="R50" s="670"/>
      <c r="S50" s="670"/>
      <c r="T50" s="670"/>
      <c r="U50" s="670"/>
      <c r="V50" s="670"/>
      <c r="W50" s="670"/>
    </row>
    <row r="51" spans="1:23" ht="12.75" customHeight="1" x14ac:dyDescent="0.25">
      <c r="A51" s="670"/>
      <c r="B51" s="670"/>
      <c r="C51" s="670"/>
      <c r="D51" s="670"/>
      <c r="E51" s="670"/>
      <c r="F51" s="670"/>
      <c r="G51" s="670"/>
      <c r="H51" s="670"/>
      <c r="I51" s="670"/>
      <c r="J51" s="670"/>
      <c r="K51" s="670"/>
      <c r="L51" s="670"/>
      <c r="M51" s="670"/>
      <c r="N51" s="670"/>
      <c r="O51" s="670"/>
      <c r="P51" s="670"/>
      <c r="Q51" s="670"/>
      <c r="R51" s="670"/>
      <c r="S51" s="670"/>
      <c r="T51" s="670"/>
      <c r="U51" s="670"/>
      <c r="V51" s="670"/>
      <c r="W51" s="670"/>
    </row>
    <row r="52" spans="1:23" ht="12.75" customHeight="1" x14ac:dyDescent="0.25">
      <c r="A52" s="670"/>
      <c r="B52" s="670"/>
      <c r="C52" s="670"/>
      <c r="D52" s="670"/>
      <c r="E52" s="670"/>
      <c r="F52" s="670"/>
      <c r="G52" s="670"/>
      <c r="H52" s="670"/>
      <c r="I52" s="670"/>
      <c r="J52" s="670"/>
      <c r="K52" s="670"/>
      <c r="L52" s="670"/>
      <c r="M52" s="670"/>
      <c r="N52" s="670"/>
      <c r="O52" s="670"/>
      <c r="P52" s="670"/>
      <c r="Q52" s="670"/>
      <c r="R52" s="670"/>
      <c r="S52" s="670"/>
      <c r="T52" s="670"/>
      <c r="U52" s="670"/>
      <c r="V52" s="670"/>
      <c r="W52" s="670"/>
    </row>
    <row r="53" spans="1:23" ht="12.75" customHeight="1" x14ac:dyDescent="0.25">
      <c r="A53" s="670"/>
      <c r="B53" s="670"/>
      <c r="C53" s="670"/>
      <c r="D53" s="670"/>
      <c r="E53" s="670"/>
      <c r="F53" s="670"/>
      <c r="G53" s="670"/>
      <c r="H53" s="670"/>
      <c r="I53" s="670"/>
      <c r="J53" s="670"/>
      <c r="K53" s="670"/>
      <c r="L53" s="670"/>
      <c r="M53" s="670"/>
      <c r="N53" s="670"/>
      <c r="O53" s="670"/>
      <c r="P53" s="670"/>
      <c r="Q53" s="670"/>
      <c r="R53" s="670"/>
      <c r="S53" s="670"/>
      <c r="T53" s="670"/>
      <c r="U53" s="670"/>
      <c r="V53" s="670"/>
      <c r="W53" s="670"/>
    </row>
    <row r="54" spans="1:23" ht="12.75" customHeight="1" x14ac:dyDescent="0.25">
      <c r="A54" s="670"/>
      <c r="B54" s="670"/>
      <c r="C54" s="670"/>
      <c r="D54" s="670"/>
      <c r="E54" s="670"/>
      <c r="F54" s="670"/>
      <c r="G54" s="670"/>
      <c r="H54" s="670"/>
      <c r="I54" s="670"/>
      <c r="J54" s="670"/>
      <c r="K54" s="670"/>
      <c r="L54" s="670"/>
      <c r="M54" s="670"/>
      <c r="N54" s="670"/>
      <c r="O54" s="670"/>
      <c r="P54" s="670"/>
      <c r="Q54" s="670"/>
      <c r="R54" s="670"/>
      <c r="S54" s="670"/>
      <c r="T54" s="670"/>
      <c r="U54" s="670"/>
      <c r="V54" s="670"/>
      <c r="W54" s="670"/>
    </row>
    <row r="55" spans="1:23" ht="12.75" customHeight="1" x14ac:dyDescent="0.25">
      <c r="A55" s="670"/>
      <c r="B55" s="670"/>
      <c r="C55" s="670"/>
      <c r="D55" s="670"/>
      <c r="E55" s="670"/>
      <c r="F55" s="670"/>
      <c r="G55" s="670"/>
      <c r="H55" s="670"/>
      <c r="I55" s="670"/>
      <c r="J55" s="670"/>
      <c r="K55" s="670"/>
      <c r="L55" s="670"/>
      <c r="M55" s="670"/>
      <c r="N55" s="670"/>
      <c r="O55" s="670"/>
      <c r="P55" s="670"/>
      <c r="Q55" s="670"/>
      <c r="R55" s="670"/>
      <c r="S55" s="670"/>
      <c r="T55" s="670"/>
      <c r="U55" s="670"/>
      <c r="V55" s="670"/>
      <c r="W55" s="670"/>
    </row>
    <row r="56" spans="1:23" ht="12.75" customHeight="1" x14ac:dyDescent="0.25">
      <c r="A56" s="670"/>
      <c r="B56" s="670"/>
      <c r="C56" s="670"/>
      <c r="D56" s="670"/>
      <c r="E56" s="670"/>
      <c r="F56" s="670"/>
      <c r="G56" s="670"/>
      <c r="H56" s="670"/>
      <c r="I56" s="670"/>
      <c r="J56" s="670"/>
      <c r="K56" s="670"/>
      <c r="L56" s="670"/>
      <c r="M56" s="670"/>
      <c r="N56" s="670"/>
      <c r="O56" s="670"/>
      <c r="P56" s="670"/>
      <c r="Q56" s="670"/>
      <c r="R56" s="670"/>
      <c r="S56" s="670"/>
      <c r="T56" s="670"/>
      <c r="U56" s="670"/>
      <c r="V56" s="670"/>
      <c r="W56" s="670"/>
    </row>
    <row r="57" spans="1:23" ht="12.75" customHeight="1" x14ac:dyDescent="0.25">
      <c r="A57" s="670"/>
      <c r="B57" s="670"/>
      <c r="C57" s="670"/>
      <c r="D57" s="670"/>
      <c r="E57" s="670"/>
      <c r="F57" s="670"/>
      <c r="G57" s="670"/>
      <c r="H57" s="670"/>
      <c r="I57" s="670"/>
      <c r="J57" s="670"/>
      <c r="K57" s="670"/>
      <c r="L57" s="670"/>
      <c r="M57" s="670"/>
      <c r="N57" s="670"/>
      <c r="O57" s="670"/>
      <c r="P57" s="670"/>
      <c r="Q57" s="670"/>
      <c r="R57" s="670"/>
      <c r="S57" s="670"/>
      <c r="T57" s="670"/>
      <c r="U57" s="670"/>
      <c r="V57" s="670"/>
      <c r="W57" s="670"/>
    </row>
    <row r="58" spans="1:23" ht="12.75" customHeight="1" x14ac:dyDescent="0.25">
      <c r="A58" s="670"/>
      <c r="B58" s="670"/>
      <c r="C58" s="670"/>
      <c r="D58" s="670"/>
      <c r="E58" s="670"/>
      <c r="F58" s="670"/>
      <c r="G58" s="670"/>
      <c r="H58" s="670"/>
      <c r="I58" s="670"/>
      <c r="J58" s="670"/>
      <c r="K58" s="670"/>
      <c r="L58" s="670"/>
      <c r="M58" s="670"/>
      <c r="N58" s="670"/>
      <c r="O58" s="670"/>
      <c r="P58" s="670"/>
      <c r="Q58" s="670"/>
      <c r="R58" s="670"/>
      <c r="S58" s="670"/>
      <c r="T58" s="670"/>
      <c r="U58" s="670"/>
      <c r="V58" s="670"/>
      <c r="W58" s="670"/>
    </row>
    <row r="59" spans="1:23" ht="12.75" customHeight="1" x14ac:dyDescent="0.25">
      <c r="A59" s="670"/>
      <c r="B59" s="670"/>
      <c r="C59" s="670"/>
      <c r="D59" s="670"/>
      <c r="E59" s="670"/>
      <c r="F59" s="670"/>
      <c r="G59" s="670"/>
      <c r="H59" s="670"/>
      <c r="I59" s="670"/>
      <c r="J59" s="670"/>
      <c r="K59" s="670"/>
      <c r="L59" s="670"/>
      <c r="M59" s="670"/>
      <c r="N59" s="670"/>
      <c r="O59" s="670"/>
      <c r="P59" s="670"/>
      <c r="Q59" s="670"/>
      <c r="R59" s="670"/>
      <c r="S59" s="670"/>
      <c r="T59" s="670"/>
      <c r="U59" s="670"/>
      <c r="V59" s="670"/>
      <c r="W59" s="670"/>
    </row>
    <row r="60" spans="1:23" ht="12.75" customHeight="1" x14ac:dyDescent="0.25">
      <c r="A60" s="670"/>
      <c r="B60" s="670"/>
      <c r="C60" s="670"/>
      <c r="D60" s="670"/>
      <c r="E60" s="670"/>
      <c r="F60" s="670"/>
      <c r="G60" s="670"/>
      <c r="H60" s="670"/>
      <c r="I60" s="670"/>
      <c r="J60" s="670"/>
      <c r="K60" s="670"/>
      <c r="L60" s="670"/>
      <c r="M60" s="670"/>
      <c r="N60" s="670"/>
      <c r="O60" s="670"/>
      <c r="P60" s="670"/>
      <c r="Q60" s="670"/>
      <c r="R60" s="670"/>
      <c r="S60" s="670"/>
      <c r="T60" s="670"/>
      <c r="U60" s="670"/>
      <c r="V60" s="670"/>
      <c r="W60" s="670"/>
    </row>
    <row r="61" spans="1:23" ht="12.75" customHeight="1" x14ac:dyDescent="0.25">
      <c r="A61" s="670"/>
      <c r="B61" s="670"/>
      <c r="C61" s="670"/>
      <c r="D61" s="670"/>
      <c r="E61" s="670"/>
      <c r="F61" s="670"/>
      <c r="G61" s="670"/>
      <c r="H61" s="670"/>
      <c r="I61" s="670"/>
      <c r="J61" s="670"/>
      <c r="K61" s="670"/>
      <c r="L61" s="670"/>
      <c r="M61" s="670"/>
      <c r="N61" s="670"/>
      <c r="O61" s="670"/>
      <c r="P61" s="670"/>
      <c r="Q61" s="670"/>
      <c r="R61" s="670"/>
      <c r="S61" s="670"/>
      <c r="T61" s="670"/>
      <c r="U61" s="670"/>
      <c r="V61" s="670"/>
      <c r="W61" s="670"/>
    </row>
    <row r="62" spans="1:23" ht="12.75" customHeight="1" x14ac:dyDescent="0.25">
      <c r="A62" s="670"/>
      <c r="B62" s="670"/>
      <c r="C62" s="670"/>
      <c r="D62" s="670"/>
      <c r="E62" s="670"/>
      <c r="F62" s="670"/>
      <c r="G62" s="670"/>
      <c r="H62" s="670"/>
      <c r="I62" s="670"/>
      <c r="J62" s="670"/>
      <c r="K62" s="670"/>
      <c r="L62" s="670"/>
      <c r="M62" s="670"/>
      <c r="N62" s="670"/>
      <c r="O62" s="670"/>
      <c r="P62" s="670"/>
      <c r="Q62" s="670"/>
      <c r="R62" s="670"/>
      <c r="S62" s="670"/>
      <c r="T62" s="670"/>
      <c r="U62" s="670"/>
      <c r="V62" s="670"/>
      <c r="W62" s="670"/>
    </row>
    <row r="63" spans="1:23" ht="12.75" customHeight="1" x14ac:dyDescent="0.25">
      <c r="A63" s="670"/>
      <c r="B63" s="670"/>
      <c r="C63" s="670"/>
      <c r="D63" s="670"/>
      <c r="E63" s="670"/>
      <c r="F63" s="670"/>
      <c r="G63" s="670"/>
      <c r="H63" s="670"/>
      <c r="I63" s="670"/>
      <c r="J63" s="670"/>
      <c r="K63" s="670"/>
      <c r="L63" s="670"/>
      <c r="M63" s="670"/>
      <c r="N63" s="670"/>
      <c r="O63" s="670"/>
      <c r="P63" s="670"/>
      <c r="Q63" s="670"/>
      <c r="R63" s="670"/>
      <c r="S63" s="670"/>
      <c r="T63" s="670"/>
      <c r="U63" s="670"/>
      <c r="V63" s="670"/>
      <c r="W63" s="670"/>
    </row>
    <row r="64" spans="1:23" ht="12.75" customHeight="1" x14ac:dyDescent="0.25">
      <c r="A64" s="670"/>
      <c r="B64" s="670"/>
      <c r="C64" s="670"/>
      <c r="D64" s="670"/>
      <c r="E64" s="670"/>
      <c r="F64" s="670"/>
      <c r="G64" s="670"/>
      <c r="H64" s="670"/>
      <c r="I64" s="670"/>
      <c r="J64" s="670"/>
      <c r="K64" s="670"/>
      <c r="L64" s="670"/>
      <c r="M64" s="670"/>
      <c r="N64" s="670"/>
      <c r="O64" s="670"/>
      <c r="P64" s="670"/>
      <c r="Q64" s="670"/>
      <c r="R64" s="670"/>
      <c r="S64" s="670"/>
      <c r="T64" s="670"/>
      <c r="U64" s="670"/>
      <c r="V64" s="670"/>
      <c r="W64" s="670"/>
    </row>
    <row r="65" spans="1:23" ht="12.75" customHeight="1" x14ac:dyDescent="0.25">
      <c r="A65" s="670"/>
      <c r="B65" s="670"/>
      <c r="C65" s="670"/>
      <c r="D65" s="670"/>
      <c r="E65" s="670"/>
      <c r="F65" s="670"/>
      <c r="G65" s="670"/>
      <c r="H65" s="670"/>
      <c r="I65" s="670"/>
      <c r="J65" s="670"/>
      <c r="K65" s="670"/>
      <c r="L65" s="670"/>
      <c r="M65" s="670"/>
      <c r="N65" s="670"/>
      <c r="O65" s="670"/>
      <c r="P65" s="670"/>
      <c r="Q65" s="670"/>
      <c r="R65" s="670"/>
      <c r="S65" s="670"/>
      <c r="T65" s="670"/>
      <c r="U65" s="670"/>
      <c r="V65" s="670"/>
      <c r="W65" s="670"/>
    </row>
    <row r="66" spans="1:23" ht="12.75" customHeight="1" x14ac:dyDescent="0.25">
      <c r="A66" s="670"/>
      <c r="B66" s="670"/>
      <c r="C66" s="670"/>
      <c r="D66" s="670"/>
      <c r="E66" s="670"/>
      <c r="F66" s="670"/>
      <c r="G66" s="670"/>
      <c r="H66" s="670"/>
      <c r="I66" s="670"/>
      <c r="J66" s="670"/>
      <c r="K66" s="670"/>
      <c r="L66" s="670"/>
      <c r="M66" s="670"/>
      <c r="N66" s="670"/>
      <c r="O66" s="670"/>
      <c r="P66" s="670"/>
      <c r="Q66" s="670"/>
      <c r="R66" s="670"/>
      <c r="S66" s="670"/>
      <c r="T66" s="670"/>
      <c r="U66" s="670"/>
      <c r="V66" s="670"/>
      <c r="W66" s="670"/>
    </row>
    <row r="67" spans="1:23" ht="12.75" customHeight="1" x14ac:dyDescent="0.25">
      <c r="A67" s="670"/>
      <c r="B67" s="670"/>
      <c r="C67" s="670"/>
      <c r="D67" s="670"/>
      <c r="E67" s="670"/>
      <c r="F67" s="670"/>
      <c r="G67" s="670"/>
      <c r="H67" s="670"/>
      <c r="I67" s="670"/>
      <c r="J67" s="670"/>
      <c r="K67" s="670"/>
      <c r="L67" s="670"/>
      <c r="M67" s="670"/>
      <c r="N67" s="670"/>
      <c r="O67" s="670"/>
      <c r="P67" s="670"/>
      <c r="Q67" s="670"/>
      <c r="R67" s="670"/>
      <c r="S67" s="670"/>
      <c r="T67" s="670"/>
      <c r="U67" s="670"/>
      <c r="V67" s="670"/>
      <c r="W67" s="670"/>
    </row>
    <row r="68" spans="1:23" ht="12.75" customHeight="1" x14ac:dyDescent="0.25">
      <c r="A68" s="670"/>
      <c r="B68" s="670"/>
      <c r="C68" s="670"/>
      <c r="D68" s="670"/>
      <c r="E68" s="670"/>
      <c r="F68" s="670"/>
      <c r="G68" s="670"/>
      <c r="H68" s="670"/>
      <c r="I68" s="670"/>
      <c r="J68" s="670"/>
      <c r="K68" s="670"/>
      <c r="L68" s="670"/>
      <c r="M68" s="670"/>
      <c r="N68" s="670"/>
      <c r="O68" s="670"/>
      <c r="P68" s="670"/>
      <c r="Q68" s="670"/>
      <c r="R68" s="670"/>
      <c r="S68" s="670"/>
      <c r="T68" s="670"/>
      <c r="U68" s="670"/>
      <c r="V68" s="670"/>
      <c r="W68" s="670"/>
    </row>
    <row r="69" spans="1:23" ht="12.75" customHeight="1" x14ac:dyDescent="0.25">
      <c r="A69" s="670"/>
      <c r="B69" s="670"/>
      <c r="C69" s="670"/>
      <c r="D69" s="670"/>
      <c r="E69" s="670"/>
      <c r="F69" s="670"/>
      <c r="G69" s="670"/>
      <c r="H69" s="670"/>
      <c r="I69" s="670"/>
      <c r="J69" s="670"/>
      <c r="K69" s="670"/>
      <c r="L69" s="670"/>
      <c r="M69" s="670"/>
      <c r="N69" s="670"/>
      <c r="O69" s="670"/>
      <c r="P69" s="670"/>
      <c r="Q69" s="670"/>
      <c r="R69" s="670"/>
      <c r="S69" s="670"/>
      <c r="T69" s="670"/>
      <c r="U69" s="670"/>
      <c r="V69" s="670"/>
      <c r="W69" s="670"/>
    </row>
    <row r="70" spans="1:23" ht="12.75" customHeight="1" x14ac:dyDescent="0.25">
      <c r="A70" s="670"/>
      <c r="B70" s="670"/>
      <c r="C70" s="670"/>
      <c r="D70" s="670"/>
      <c r="E70" s="670"/>
      <c r="F70" s="670"/>
      <c r="G70" s="670"/>
      <c r="H70" s="670"/>
      <c r="I70" s="670"/>
      <c r="J70" s="670"/>
      <c r="K70" s="670"/>
      <c r="L70" s="670"/>
      <c r="M70" s="670"/>
      <c r="N70" s="670"/>
      <c r="O70" s="670"/>
      <c r="P70" s="670"/>
      <c r="Q70" s="670"/>
      <c r="R70" s="670"/>
      <c r="S70" s="670"/>
      <c r="T70" s="670"/>
      <c r="U70" s="670"/>
      <c r="V70" s="670"/>
      <c r="W70" s="670"/>
    </row>
    <row r="71" spans="1:23" ht="12.75" customHeight="1" x14ac:dyDescent="0.25">
      <c r="A71" s="670"/>
      <c r="B71" s="670"/>
      <c r="C71" s="670"/>
      <c r="D71" s="670"/>
      <c r="E71" s="670"/>
      <c r="F71" s="670"/>
      <c r="G71" s="670"/>
      <c r="H71" s="670"/>
      <c r="I71" s="670"/>
      <c r="J71" s="670"/>
      <c r="K71" s="670"/>
      <c r="L71" s="670"/>
      <c r="M71" s="670"/>
      <c r="N71" s="670"/>
      <c r="O71" s="670"/>
      <c r="P71" s="670"/>
      <c r="Q71" s="670"/>
      <c r="R71" s="670"/>
      <c r="S71" s="670"/>
      <c r="T71" s="670"/>
      <c r="U71" s="670"/>
      <c r="V71" s="670"/>
      <c r="W71" s="670"/>
    </row>
    <row r="72" spans="1:23" ht="12.75" customHeight="1" x14ac:dyDescent="0.25">
      <c r="A72" s="670"/>
      <c r="B72" s="670"/>
      <c r="C72" s="670"/>
      <c r="D72" s="670"/>
      <c r="E72" s="670"/>
      <c r="F72" s="670"/>
      <c r="G72" s="670"/>
      <c r="H72" s="670"/>
      <c r="I72" s="670"/>
      <c r="J72" s="670"/>
      <c r="K72" s="670"/>
      <c r="L72" s="670"/>
      <c r="M72" s="670"/>
      <c r="N72" s="670"/>
      <c r="O72" s="670"/>
      <c r="P72" s="670"/>
      <c r="Q72" s="670"/>
      <c r="R72" s="670"/>
      <c r="S72" s="670"/>
      <c r="T72" s="670"/>
      <c r="U72" s="670"/>
      <c r="V72" s="670"/>
      <c r="W72" s="670"/>
    </row>
    <row r="73" spans="1:23" ht="12.75" customHeight="1" x14ac:dyDescent="0.25">
      <c r="A73" s="670"/>
      <c r="B73" s="670"/>
      <c r="C73" s="670"/>
      <c r="D73" s="670"/>
      <c r="E73" s="670"/>
      <c r="F73" s="670"/>
      <c r="G73" s="670"/>
      <c r="H73" s="670"/>
      <c r="I73" s="670"/>
      <c r="J73" s="670"/>
      <c r="K73" s="670"/>
      <c r="L73" s="670"/>
      <c r="M73" s="670"/>
      <c r="N73" s="670"/>
      <c r="O73" s="670"/>
      <c r="P73" s="670"/>
      <c r="Q73" s="670"/>
      <c r="R73" s="670"/>
      <c r="S73" s="670"/>
      <c r="T73" s="670"/>
      <c r="U73" s="670"/>
      <c r="V73" s="670"/>
      <c r="W73" s="670"/>
    </row>
    <row r="74" spans="1:23" ht="12.75" customHeight="1" x14ac:dyDescent="0.25">
      <c r="A74" s="670"/>
      <c r="B74" s="670"/>
      <c r="C74" s="670"/>
      <c r="D74" s="670"/>
      <c r="E74" s="670"/>
      <c r="F74" s="670"/>
      <c r="G74" s="670"/>
      <c r="H74" s="670"/>
      <c r="I74" s="670"/>
      <c r="J74" s="670"/>
      <c r="K74" s="670"/>
      <c r="L74" s="670"/>
      <c r="M74" s="670"/>
      <c r="N74" s="670"/>
      <c r="O74" s="670"/>
      <c r="P74" s="670"/>
      <c r="Q74" s="670"/>
      <c r="R74" s="670"/>
      <c r="S74" s="670"/>
      <c r="T74" s="670"/>
      <c r="U74" s="670"/>
      <c r="V74" s="670"/>
      <c r="W74" s="670"/>
    </row>
    <row r="75" spans="1:23" ht="12.75" customHeight="1" x14ac:dyDescent="0.25">
      <c r="A75" s="670"/>
      <c r="B75" s="670"/>
      <c r="C75" s="670"/>
      <c r="D75" s="670"/>
      <c r="E75" s="670"/>
      <c r="F75" s="670"/>
      <c r="G75" s="670"/>
      <c r="H75" s="670"/>
      <c r="I75" s="670"/>
      <c r="J75" s="670"/>
      <c r="K75" s="670"/>
      <c r="L75" s="670"/>
      <c r="M75" s="670"/>
      <c r="N75" s="670"/>
      <c r="O75" s="670"/>
      <c r="P75" s="670"/>
      <c r="Q75" s="670"/>
      <c r="R75" s="670"/>
      <c r="S75" s="670"/>
      <c r="T75" s="670"/>
      <c r="U75" s="670"/>
      <c r="V75" s="670"/>
      <c r="W75" s="670"/>
    </row>
    <row r="76" spans="1:23" ht="12.75" customHeight="1" x14ac:dyDescent="0.25">
      <c r="A76" s="670"/>
      <c r="B76" s="670"/>
      <c r="C76" s="670"/>
      <c r="D76" s="670"/>
      <c r="E76" s="670"/>
      <c r="F76" s="670"/>
      <c r="G76" s="670"/>
      <c r="H76" s="670"/>
      <c r="I76" s="670"/>
      <c r="J76" s="670"/>
      <c r="K76" s="670"/>
      <c r="L76" s="670"/>
      <c r="M76" s="670"/>
      <c r="N76" s="670"/>
      <c r="O76" s="670"/>
      <c r="P76" s="670"/>
      <c r="Q76" s="670"/>
      <c r="R76" s="670"/>
      <c r="S76" s="670"/>
      <c r="T76" s="670"/>
      <c r="U76" s="670"/>
      <c r="V76" s="670"/>
      <c r="W76" s="670"/>
    </row>
    <row r="77" spans="1:23" ht="12.75" customHeight="1" x14ac:dyDescent="0.25">
      <c r="A77" s="670"/>
      <c r="B77" s="670"/>
      <c r="C77" s="670"/>
      <c r="D77" s="670"/>
      <c r="E77" s="670"/>
      <c r="F77" s="670"/>
      <c r="G77" s="670"/>
      <c r="H77" s="670"/>
      <c r="I77" s="670"/>
      <c r="J77" s="670"/>
      <c r="K77" s="670"/>
      <c r="L77" s="670"/>
      <c r="M77" s="670"/>
      <c r="N77" s="670"/>
      <c r="O77" s="670"/>
      <c r="P77" s="670"/>
      <c r="Q77" s="670"/>
      <c r="R77" s="670"/>
      <c r="S77" s="670"/>
      <c r="T77" s="670"/>
      <c r="U77" s="670"/>
      <c r="V77" s="670"/>
      <c r="W77" s="670"/>
    </row>
    <row r="78" spans="1:23" ht="12.75" customHeight="1" x14ac:dyDescent="0.25">
      <c r="A78" s="670"/>
      <c r="B78" s="670"/>
      <c r="C78" s="670"/>
      <c r="D78" s="670"/>
      <c r="E78" s="670"/>
      <c r="F78" s="670"/>
      <c r="G78" s="670"/>
      <c r="H78" s="670"/>
      <c r="I78" s="670"/>
      <c r="J78" s="670"/>
      <c r="K78" s="670"/>
      <c r="L78" s="670"/>
      <c r="M78" s="670"/>
      <c r="N78" s="670"/>
      <c r="O78" s="670"/>
      <c r="P78" s="670"/>
      <c r="Q78" s="670"/>
      <c r="R78" s="670"/>
      <c r="S78" s="670"/>
      <c r="T78" s="670"/>
      <c r="U78" s="670"/>
      <c r="V78" s="670"/>
      <c r="W78" s="670"/>
    </row>
    <row r="79" spans="1:23" ht="12.75" customHeight="1" x14ac:dyDescent="0.25">
      <c r="A79" s="670"/>
      <c r="B79" s="670"/>
      <c r="C79" s="670"/>
      <c r="D79" s="670"/>
      <c r="E79" s="670"/>
      <c r="F79" s="670"/>
      <c r="G79" s="670"/>
      <c r="H79" s="670"/>
      <c r="I79" s="670"/>
      <c r="J79" s="670"/>
      <c r="K79" s="670"/>
      <c r="L79" s="670"/>
      <c r="M79" s="670"/>
      <c r="N79" s="670"/>
      <c r="O79" s="670"/>
      <c r="P79" s="670"/>
      <c r="Q79" s="670"/>
      <c r="R79" s="670"/>
      <c r="S79" s="670"/>
      <c r="T79" s="670"/>
      <c r="U79" s="670"/>
      <c r="V79" s="670"/>
      <c r="W79" s="670"/>
    </row>
    <row r="80" spans="1:23" ht="12.75" customHeight="1" x14ac:dyDescent="0.25">
      <c r="A80" s="670"/>
      <c r="B80" s="670"/>
      <c r="C80" s="670"/>
      <c r="D80" s="670"/>
      <c r="E80" s="670"/>
      <c r="F80" s="670"/>
      <c r="G80" s="670"/>
      <c r="H80" s="670"/>
      <c r="I80" s="670"/>
      <c r="J80" s="670"/>
      <c r="K80" s="670"/>
      <c r="L80" s="670"/>
      <c r="M80" s="670"/>
      <c r="N80" s="670"/>
      <c r="O80" s="670"/>
      <c r="P80" s="670"/>
      <c r="Q80" s="670"/>
      <c r="R80" s="670"/>
      <c r="S80" s="670"/>
      <c r="T80" s="670"/>
      <c r="U80" s="670"/>
      <c r="V80" s="670"/>
      <c r="W80" s="670"/>
    </row>
    <row r="81" spans="1:23" ht="12.75" customHeight="1" x14ac:dyDescent="0.25">
      <c r="A81" s="670"/>
      <c r="B81" s="670"/>
      <c r="C81" s="670"/>
      <c r="D81" s="670"/>
      <c r="E81" s="670"/>
      <c r="F81" s="670"/>
      <c r="G81" s="670"/>
      <c r="H81" s="670"/>
      <c r="I81" s="670"/>
      <c r="J81" s="670"/>
      <c r="K81" s="670"/>
      <c r="L81" s="670"/>
      <c r="M81" s="670"/>
      <c r="N81" s="670"/>
      <c r="O81" s="670"/>
      <c r="P81" s="670"/>
      <c r="Q81" s="670"/>
      <c r="R81" s="670"/>
      <c r="S81" s="670"/>
      <c r="T81" s="670"/>
      <c r="U81" s="670"/>
      <c r="V81" s="670"/>
      <c r="W81" s="670"/>
    </row>
    <row r="82" spans="1:23" ht="12.75" customHeight="1" x14ac:dyDescent="0.25">
      <c r="A82" s="670"/>
      <c r="B82" s="670"/>
      <c r="C82" s="670"/>
      <c r="D82" s="670"/>
      <c r="E82" s="670"/>
      <c r="F82" s="670"/>
      <c r="G82" s="670"/>
      <c r="H82" s="670"/>
      <c r="I82" s="670"/>
      <c r="J82" s="670"/>
      <c r="K82" s="670"/>
      <c r="L82" s="670"/>
      <c r="M82" s="670"/>
      <c r="N82" s="670"/>
      <c r="O82" s="670"/>
      <c r="P82" s="670"/>
      <c r="Q82" s="670"/>
      <c r="R82" s="670"/>
      <c r="S82" s="670"/>
      <c r="T82" s="670"/>
      <c r="U82" s="670"/>
      <c r="V82" s="670"/>
      <c r="W82" s="670"/>
    </row>
    <row r="83" spans="1:23" ht="12.75" customHeight="1" x14ac:dyDescent="0.25">
      <c r="A83" s="670"/>
      <c r="B83" s="670"/>
      <c r="C83" s="670"/>
      <c r="D83" s="670"/>
      <c r="E83" s="670"/>
      <c r="F83" s="670"/>
      <c r="G83" s="670"/>
      <c r="H83" s="670"/>
      <c r="I83" s="670"/>
      <c r="J83" s="670"/>
      <c r="K83" s="670"/>
      <c r="L83" s="670"/>
      <c r="M83" s="670"/>
      <c r="N83" s="670"/>
      <c r="O83" s="670"/>
      <c r="P83" s="670"/>
      <c r="Q83" s="670"/>
      <c r="R83" s="670"/>
      <c r="S83" s="670"/>
      <c r="T83" s="670"/>
      <c r="U83" s="670"/>
      <c r="V83" s="670"/>
      <c r="W83" s="670"/>
    </row>
    <row r="84" spans="1:23" ht="12.75" customHeight="1" x14ac:dyDescent="0.25">
      <c r="A84" s="670"/>
      <c r="B84" s="670"/>
      <c r="C84" s="670"/>
      <c r="D84" s="670"/>
      <c r="E84" s="670"/>
      <c r="F84" s="670"/>
      <c r="G84" s="670"/>
      <c r="H84" s="670"/>
      <c r="I84" s="670"/>
      <c r="J84" s="670"/>
      <c r="K84" s="670"/>
      <c r="L84" s="670"/>
      <c r="M84" s="670"/>
      <c r="N84" s="670"/>
      <c r="O84" s="670"/>
      <c r="P84" s="670"/>
      <c r="Q84" s="670"/>
      <c r="R84" s="670"/>
      <c r="S84" s="670"/>
      <c r="T84" s="670"/>
      <c r="U84" s="670"/>
      <c r="V84" s="670"/>
      <c r="W84" s="670"/>
    </row>
    <row r="85" spans="1:23" ht="12.75" customHeight="1" x14ac:dyDescent="0.25">
      <c r="A85" s="670"/>
      <c r="B85" s="670"/>
      <c r="C85" s="670"/>
      <c r="D85" s="670"/>
      <c r="E85" s="670"/>
      <c r="F85" s="670"/>
      <c r="G85" s="670"/>
      <c r="H85" s="670"/>
      <c r="I85" s="670"/>
      <c r="J85" s="670"/>
      <c r="K85" s="670"/>
      <c r="L85" s="670"/>
      <c r="M85" s="670"/>
      <c r="N85" s="670"/>
      <c r="O85" s="670"/>
      <c r="P85" s="670"/>
      <c r="Q85" s="670"/>
      <c r="R85" s="670"/>
      <c r="S85" s="670"/>
      <c r="T85" s="670"/>
      <c r="U85" s="670"/>
      <c r="V85" s="670"/>
      <c r="W85" s="670"/>
    </row>
    <row r="86" spans="1:23" ht="12.75" customHeight="1" x14ac:dyDescent="0.25">
      <c r="A86" s="670"/>
      <c r="B86" s="670"/>
      <c r="C86" s="670"/>
      <c r="D86" s="670"/>
      <c r="E86" s="670"/>
      <c r="F86" s="670"/>
      <c r="G86" s="670"/>
      <c r="H86" s="670"/>
      <c r="I86" s="670"/>
      <c r="J86" s="670"/>
      <c r="K86" s="670"/>
      <c r="L86" s="670"/>
      <c r="M86" s="670"/>
      <c r="N86" s="670"/>
      <c r="O86" s="670"/>
      <c r="P86" s="670"/>
      <c r="Q86" s="670"/>
      <c r="R86" s="670"/>
      <c r="S86" s="670"/>
      <c r="T86" s="670"/>
      <c r="U86" s="670"/>
      <c r="V86" s="670"/>
      <c r="W86" s="670"/>
    </row>
    <row r="87" spans="1:23" ht="12.75" customHeight="1" x14ac:dyDescent="0.25">
      <c r="A87" s="670"/>
      <c r="B87" s="670"/>
      <c r="C87" s="670"/>
      <c r="D87" s="670"/>
      <c r="E87" s="670"/>
      <c r="F87" s="670"/>
      <c r="G87" s="670"/>
      <c r="H87" s="670"/>
      <c r="I87" s="670"/>
      <c r="J87" s="670"/>
      <c r="K87" s="670"/>
      <c r="L87" s="670"/>
      <c r="M87" s="670"/>
      <c r="N87" s="670"/>
      <c r="O87" s="670"/>
      <c r="P87" s="670"/>
      <c r="Q87" s="670"/>
      <c r="R87" s="670"/>
      <c r="S87" s="670"/>
      <c r="T87" s="670"/>
      <c r="U87" s="670"/>
      <c r="V87" s="670"/>
      <c r="W87" s="670"/>
    </row>
    <row r="88" spans="1:23" ht="12.75" customHeight="1" x14ac:dyDescent="0.25">
      <c r="A88" s="670"/>
      <c r="B88" s="670"/>
      <c r="C88" s="670"/>
      <c r="D88" s="670"/>
      <c r="E88" s="670"/>
      <c r="F88" s="670"/>
      <c r="G88" s="670"/>
      <c r="H88" s="670"/>
      <c r="I88" s="670"/>
      <c r="J88" s="670"/>
      <c r="K88" s="670"/>
      <c r="L88" s="670"/>
      <c r="M88" s="670"/>
      <c r="N88" s="670"/>
      <c r="O88" s="670"/>
      <c r="P88" s="670"/>
      <c r="Q88" s="670"/>
      <c r="R88" s="670"/>
      <c r="S88" s="670"/>
      <c r="T88" s="670"/>
      <c r="U88" s="670"/>
      <c r="V88" s="670"/>
      <c r="W88" s="670"/>
    </row>
    <row r="89" spans="1:23" ht="12.75" customHeight="1" x14ac:dyDescent="0.25">
      <c r="A89" s="670"/>
      <c r="B89" s="670"/>
      <c r="C89" s="670"/>
      <c r="D89" s="670"/>
      <c r="E89" s="670"/>
      <c r="F89" s="670"/>
      <c r="G89" s="670"/>
      <c r="H89" s="670"/>
      <c r="I89" s="670"/>
      <c r="J89" s="670"/>
      <c r="K89" s="670"/>
      <c r="L89" s="670"/>
      <c r="M89" s="670"/>
      <c r="N89" s="670"/>
      <c r="O89" s="670"/>
      <c r="P89" s="670"/>
      <c r="Q89" s="670"/>
      <c r="R89" s="670"/>
      <c r="S89" s="670"/>
      <c r="T89" s="670"/>
      <c r="U89" s="670"/>
      <c r="V89" s="670"/>
      <c r="W89" s="670"/>
    </row>
    <row r="90" spans="1:23" ht="12.75" customHeight="1" x14ac:dyDescent="0.25">
      <c r="A90" s="670"/>
      <c r="B90" s="670"/>
      <c r="C90" s="670"/>
      <c r="D90" s="670"/>
      <c r="E90" s="670"/>
      <c r="F90" s="670"/>
      <c r="G90" s="670"/>
      <c r="H90" s="670"/>
      <c r="I90" s="670"/>
      <c r="J90" s="670"/>
      <c r="K90" s="670"/>
      <c r="L90" s="670"/>
      <c r="M90" s="670"/>
      <c r="N90" s="670"/>
      <c r="O90" s="670"/>
      <c r="P90" s="670"/>
      <c r="Q90" s="670"/>
      <c r="R90" s="670"/>
      <c r="S90" s="670"/>
      <c r="T90" s="670"/>
      <c r="U90" s="670"/>
      <c r="V90" s="670"/>
      <c r="W90" s="670"/>
    </row>
    <row r="91" spans="1:23" ht="12.75" customHeight="1" x14ac:dyDescent="0.25">
      <c r="A91" s="670"/>
      <c r="B91" s="670"/>
      <c r="C91" s="670"/>
      <c r="D91" s="670"/>
      <c r="E91" s="670"/>
      <c r="F91" s="670"/>
      <c r="G91" s="670"/>
      <c r="H91" s="670"/>
      <c r="I91" s="670"/>
      <c r="J91" s="670"/>
      <c r="K91" s="670"/>
      <c r="L91" s="670"/>
      <c r="M91" s="670"/>
      <c r="N91" s="670"/>
      <c r="O91" s="670"/>
      <c r="P91" s="670"/>
      <c r="Q91" s="670"/>
      <c r="R91" s="670"/>
      <c r="S91" s="670"/>
      <c r="T91" s="670"/>
      <c r="U91" s="670"/>
      <c r="V91" s="670"/>
      <c r="W91" s="670"/>
    </row>
    <row r="92" spans="1:23" ht="12.75" customHeight="1" x14ac:dyDescent="0.25">
      <c r="A92" s="670"/>
      <c r="B92" s="670"/>
      <c r="C92" s="670"/>
      <c r="D92" s="670"/>
      <c r="E92" s="670"/>
      <c r="F92" s="670"/>
      <c r="G92" s="670"/>
      <c r="H92" s="670"/>
      <c r="I92" s="670"/>
      <c r="J92" s="670"/>
      <c r="K92" s="670"/>
      <c r="L92" s="670"/>
      <c r="M92" s="670"/>
      <c r="N92" s="670"/>
      <c r="O92" s="670"/>
      <c r="P92" s="670"/>
      <c r="Q92" s="670"/>
      <c r="R92" s="670"/>
      <c r="S92" s="670"/>
      <c r="T92" s="670"/>
      <c r="U92" s="670"/>
      <c r="V92" s="670"/>
      <c r="W92" s="670"/>
    </row>
    <row r="93" spans="1:23" ht="12.75" customHeight="1" x14ac:dyDescent="0.25">
      <c r="A93" s="670"/>
      <c r="B93" s="670"/>
      <c r="C93" s="670"/>
      <c r="D93" s="670"/>
      <c r="E93" s="670"/>
      <c r="F93" s="670"/>
      <c r="G93" s="670"/>
      <c r="H93" s="670"/>
      <c r="I93" s="670"/>
      <c r="J93" s="670"/>
      <c r="K93" s="670"/>
      <c r="L93" s="670"/>
      <c r="M93" s="670"/>
      <c r="N93" s="670"/>
      <c r="O93" s="670"/>
      <c r="P93" s="670"/>
      <c r="Q93" s="670"/>
      <c r="R93" s="670"/>
      <c r="S93" s="670"/>
      <c r="T93" s="670"/>
      <c r="U93" s="670"/>
      <c r="V93" s="670"/>
      <c r="W93" s="670"/>
    </row>
    <row r="94" spans="1:23" ht="12.75" customHeight="1" x14ac:dyDescent="0.25">
      <c r="A94" s="670"/>
      <c r="B94" s="670"/>
      <c r="C94" s="670"/>
      <c r="D94" s="670"/>
      <c r="E94" s="670"/>
      <c r="F94" s="670"/>
      <c r="G94" s="670"/>
      <c r="H94" s="670"/>
      <c r="I94" s="670"/>
      <c r="J94" s="670"/>
      <c r="K94" s="670"/>
      <c r="L94" s="670"/>
      <c r="M94" s="670"/>
      <c r="N94" s="670"/>
      <c r="O94" s="670"/>
      <c r="P94" s="670"/>
      <c r="Q94" s="670"/>
      <c r="R94" s="670"/>
      <c r="S94" s="670"/>
      <c r="T94" s="670"/>
      <c r="U94" s="670"/>
      <c r="V94" s="670"/>
      <c r="W94" s="670"/>
    </row>
    <row r="95" spans="1:23" ht="12.75" customHeight="1" x14ac:dyDescent="0.25">
      <c r="A95" s="670"/>
      <c r="B95" s="670"/>
      <c r="C95" s="670"/>
      <c r="D95" s="670"/>
      <c r="E95" s="670"/>
      <c r="F95" s="670"/>
      <c r="G95" s="670"/>
      <c r="H95" s="670"/>
      <c r="I95" s="670"/>
      <c r="J95" s="670"/>
      <c r="K95" s="670"/>
      <c r="L95" s="670"/>
      <c r="M95" s="670"/>
      <c r="N95" s="670"/>
      <c r="O95" s="670"/>
      <c r="P95" s="670"/>
      <c r="Q95" s="670"/>
      <c r="R95" s="670"/>
      <c r="S95" s="670"/>
      <c r="T95" s="670"/>
      <c r="U95" s="670"/>
      <c r="V95" s="670"/>
      <c r="W95" s="670"/>
    </row>
    <row r="96" spans="1:23" ht="12.75" customHeight="1" x14ac:dyDescent="0.25">
      <c r="A96" s="670"/>
      <c r="B96" s="670"/>
      <c r="C96" s="670"/>
      <c r="D96" s="670"/>
      <c r="E96" s="670"/>
      <c r="F96" s="670"/>
      <c r="G96" s="670"/>
      <c r="H96" s="670"/>
      <c r="I96" s="670"/>
      <c r="J96" s="670"/>
      <c r="K96" s="670"/>
      <c r="L96" s="670"/>
      <c r="M96" s="670"/>
      <c r="N96" s="670"/>
      <c r="O96" s="670"/>
      <c r="P96" s="670"/>
      <c r="Q96" s="670"/>
      <c r="R96" s="670"/>
      <c r="S96" s="670"/>
      <c r="T96" s="670"/>
      <c r="U96" s="670"/>
      <c r="V96" s="670"/>
      <c r="W96" s="670"/>
    </row>
    <row r="97" spans="1:23" ht="12.75" customHeight="1" x14ac:dyDescent="0.25">
      <c r="A97" s="670"/>
      <c r="B97" s="670"/>
      <c r="C97" s="670"/>
      <c r="D97" s="670"/>
      <c r="E97" s="670"/>
      <c r="F97" s="670"/>
      <c r="G97" s="670"/>
      <c r="H97" s="670"/>
      <c r="I97" s="670"/>
      <c r="J97" s="670"/>
      <c r="K97" s="670"/>
      <c r="L97" s="670"/>
      <c r="M97" s="670"/>
      <c r="N97" s="670"/>
      <c r="O97" s="670"/>
      <c r="P97" s="670"/>
      <c r="Q97" s="670"/>
      <c r="R97" s="670"/>
      <c r="S97" s="670"/>
      <c r="T97" s="670"/>
      <c r="U97" s="670"/>
      <c r="V97" s="670"/>
      <c r="W97" s="670"/>
    </row>
    <row r="98" spans="1:23" ht="12.75" customHeight="1" x14ac:dyDescent="0.25">
      <c r="A98" s="670"/>
      <c r="B98" s="670"/>
      <c r="C98" s="670"/>
      <c r="D98" s="670"/>
      <c r="E98" s="670"/>
      <c r="F98" s="670"/>
      <c r="G98" s="670"/>
      <c r="H98" s="670"/>
      <c r="I98" s="670"/>
      <c r="J98" s="670"/>
      <c r="K98" s="670"/>
      <c r="L98" s="670"/>
      <c r="M98" s="670"/>
      <c r="N98" s="670"/>
      <c r="O98" s="670"/>
      <c r="P98" s="670"/>
      <c r="Q98" s="670"/>
      <c r="R98" s="670"/>
      <c r="S98" s="670"/>
      <c r="T98" s="670"/>
      <c r="U98" s="670"/>
      <c r="V98" s="670"/>
      <c r="W98" s="670"/>
    </row>
    <row r="99" spans="1:23" ht="12.75" customHeight="1" x14ac:dyDescent="0.25">
      <c r="A99" s="670"/>
      <c r="B99" s="670"/>
      <c r="C99" s="670"/>
      <c r="D99" s="670"/>
      <c r="E99" s="670"/>
      <c r="F99" s="670"/>
      <c r="G99" s="670"/>
      <c r="H99" s="670"/>
      <c r="I99" s="670"/>
      <c r="J99" s="670"/>
      <c r="K99" s="670"/>
      <c r="L99" s="670"/>
      <c r="M99" s="670"/>
      <c r="N99" s="670"/>
      <c r="O99" s="670"/>
      <c r="P99" s="670"/>
      <c r="Q99" s="670"/>
      <c r="R99" s="670"/>
      <c r="S99" s="670"/>
      <c r="T99" s="670"/>
      <c r="U99" s="670"/>
      <c r="V99" s="670"/>
      <c r="W99" s="670"/>
    </row>
    <row r="100" spans="1:23" ht="12.75" customHeight="1" x14ac:dyDescent="0.25">
      <c r="A100" s="670"/>
      <c r="B100" s="670"/>
      <c r="C100" s="670"/>
      <c r="D100" s="670"/>
      <c r="E100" s="670"/>
      <c r="F100" s="670"/>
      <c r="G100" s="670"/>
      <c r="H100" s="670"/>
      <c r="I100" s="670"/>
      <c r="J100" s="670"/>
      <c r="K100" s="670"/>
      <c r="L100" s="670"/>
      <c r="M100" s="670"/>
      <c r="N100" s="670"/>
      <c r="O100" s="670"/>
      <c r="P100" s="670"/>
      <c r="Q100" s="670"/>
      <c r="R100" s="670"/>
      <c r="S100" s="670"/>
      <c r="T100" s="670"/>
      <c r="U100" s="670"/>
      <c r="V100" s="670"/>
      <c r="W100" s="670"/>
    </row>
    <row r="101" spans="1:23" ht="12.75" customHeight="1" x14ac:dyDescent="0.25">
      <c r="A101" s="670"/>
      <c r="B101" s="670"/>
      <c r="C101" s="670"/>
      <c r="D101" s="670"/>
      <c r="E101" s="670"/>
      <c r="F101" s="670"/>
      <c r="G101" s="670"/>
      <c r="H101" s="670"/>
      <c r="I101" s="670"/>
      <c r="J101" s="670"/>
      <c r="K101" s="670"/>
      <c r="L101" s="670"/>
      <c r="M101" s="670"/>
      <c r="N101" s="670"/>
      <c r="O101" s="670"/>
      <c r="P101" s="670"/>
      <c r="Q101" s="670"/>
      <c r="R101" s="670"/>
      <c r="S101" s="670"/>
      <c r="T101" s="670"/>
      <c r="U101" s="670"/>
      <c r="V101" s="670"/>
      <c r="W101" s="670"/>
    </row>
    <row r="102" spans="1:23" ht="12.75" customHeight="1" x14ac:dyDescent="0.25">
      <c r="A102" s="670"/>
      <c r="B102" s="670"/>
      <c r="C102" s="670"/>
      <c r="D102" s="670"/>
      <c r="E102" s="670"/>
      <c r="F102" s="670"/>
      <c r="G102" s="670"/>
      <c r="H102" s="670"/>
      <c r="I102" s="670"/>
      <c r="J102" s="670"/>
      <c r="K102" s="670"/>
      <c r="L102" s="670"/>
      <c r="M102" s="670"/>
      <c r="N102" s="670"/>
      <c r="O102" s="670"/>
      <c r="P102" s="670"/>
      <c r="Q102" s="670"/>
      <c r="R102" s="670"/>
      <c r="S102" s="670"/>
      <c r="T102" s="670"/>
      <c r="U102" s="670"/>
      <c r="V102" s="670"/>
      <c r="W102" s="670"/>
    </row>
    <row r="103" spans="1:23" ht="12.75" customHeight="1" x14ac:dyDescent="0.25">
      <c r="A103" s="670"/>
      <c r="B103" s="670"/>
      <c r="C103" s="670"/>
      <c r="D103" s="670"/>
      <c r="E103" s="670"/>
      <c r="F103" s="670"/>
      <c r="G103" s="670"/>
      <c r="H103" s="670"/>
      <c r="I103" s="670"/>
      <c r="J103" s="670"/>
      <c r="K103" s="670"/>
      <c r="L103" s="670"/>
      <c r="M103" s="670"/>
      <c r="N103" s="670"/>
      <c r="O103" s="670"/>
      <c r="P103" s="670"/>
      <c r="Q103" s="670"/>
      <c r="R103" s="670"/>
      <c r="S103" s="670"/>
      <c r="T103" s="670"/>
      <c r="U103" s="670"/>
      <c r="V103" s="670"/>
      <c r="W103" s="670"/>
    </row>
    <row r="104" spans="1:23" ht="12.75" customHeight="1" x14ac:dyDescent="0.25">
      <c r="A104" s="670"/>
      <c r="B104" s="670"/>
      <c r="C104" s="670"/>
      <c r="D104" s="670"/>
      <c r="E104" s="670"/>
      <c r="F104" s="670"/>
      <c r="G104" s="670"/>
      <c r="H104" s="670"/>
      <c r="I104" s="670"/>
      <c r="J104" s="670"/>
      <c r="K104" s="670"/>
      <c r="L104" s="670"/>
      <c r="M104" s="670"/>
      <c r="N104" s="670"/>
      <c r="O104" s="670"/>
      <c r="P104" s="670"/>
      <c r="Q104" s="670"/>
      <c r="R104" s="670"/>
      <c r="S104" s="670"/>
      <c r="T104" s="670"/>
      <c r="U104" s="670"/>
      <c r="V104" s="670"/>
      <c r="W104" s="670"/>
    </row>
    <row r="105" spans="1:23" ht="12.75" customHeight="1" x14ac:dyDescent="0.25">
      <c r="A105" s="670"/>
      <c r="B105" s="670"/>
      <c r="C105" s="670"/>
      <c r="D105" s="670"/>
      <c r="E105" s="670"/>
      <c r="F105" s="670"/>
      <c r="G105" s="670"/>
      <c r="H105" s="670"/>
      <c r="I105" s="670"/>
      <c r="J105" s="670"/>
      <c r="K105" s="670"/>
      <c r="L105" s="670"/>
      <c r="M105" s="670"/>
      <c r="N105" s="670"/>
      <c r="O105" s="670"/>
      <c r="P105" s="670"/>
      <c r="Q105" s="670"/>
      <c r="R105" s="670"/>
      <c r="S105" s="670"/>
      <c r="T105" s="670"/>
      <c r="U105" s="670"/>
      <c r="V105" s="670"/>
      <c r="W105" s="670"/>
    </row>
    <row r="106" spans="1:23" ht="12.75" customHeight="1" x14ac:dyDescent="0.25">
      <c r="A106" s="670"/>
      <c r="B106" s="670"/>
      <c r="C106" s="670"/>
      <c r="D106" s="670"/>
      <c r="E106" s="670"/>
      <c r="F106" s="670"/>
      <c r="G106" s="670"/>
      <c r="H106" s="670"/>
      <c r="I106" s="670"/>
      <c r="J106" s="670"/>
      <c r="K106" s="670"/>
      <c r="L106" s="670"/>
      <c r="M106" s="670"/>
      <c r="N106" s="670"/>
      <c r="O106" s="670"/>
      <c r="P106" s="670"/>
      <c r="Q106" s="670"/>
      <c r="R106" s="670"/>
      <c r="S106" s="670"/>
      <c r="T106" s="670"/>
      <c r="U106" s="670"/>
      <c r="V106" s="670"/>
      <c r="W106" s="670"/>
    </row>
    <row r="107" spans="1:23" ht="12.75" customHeight="1" x14ac:dyDescent="0.25">
      <c r="A107" s="670"/>
      <c r="B107" s="670"/>
      <c r="C107" s="670"/>
      <c r="D107" s="670"/>
      <c r="E107" s="670"/>
      <c r="F107" s="670"/>
      <c r="G107" s="670"/>
      <c r="H107" s="670"/>
      <c r="I107" s="670"/>
      <c r="J107" s="670"/>
      <c r="K107" s="670"/>
      <c r="L107" s="670"/>
      <c r="M107" s="670"/>
      <c r="N107" s="670"/>
      <c r="O107" s="670"/>
      <c r="P107" s="670"/>
      <c r="Q107" s="670"/>
      <c r="R107" s="670"/>
      <c r="S107" s="670"/>
      <c r="T107" s="670"/>
      <c r="U107" s="670"/>
      <c r="V107" s="670"/>
      <c r="W107" s="670"/>
    </row>
    <row r="108" spans="1:23" ht="12.75" customHeight="1" x14ac:dyDescent="0.25">
      <c r="A108" s="670"/>
      <c r="B108" s="670"/>
      <c r="C108" s="670"/>
      <c r="D108" s="670"/>
      <c r="E108" s="670"/>
      <c r="F108" s="670"/>
      <c r="G108" s="670"/>
      <c r="H108" s="670"/>
      <c r="I108" s="670"/>
      <c r="J108" s="670"/>
      <c r="K108" s="670"/>
      <c r="L108" s="670"/>
      <c r="M108" s="670"/>
      <c r="N108" s="670"/>
      <c r="O108" s="670"/>
      <c r="P108" s="670"/>
      <c r="Q108" s="670"/>
      <c r="R108" s="670"/>
      <c r="S108" s="670"/>
      <c r="T108" s="670"/>
      <c r="U108" s="670"/>
      <c r="V108" s="670"/>
      <c r="W108" s="670"/>
    </row>
    <row r="109" spans="1:23" ht="12.75" customHeight="1" x14ac:dyDescent="0.25">
      <c r="A109" s="670"/>
      <c r="B109" s="670"/>
      <c r="C109" s="670"/>
      <c r="D109" s="670"/>
      <c r="E109" s="670"/>
      <c r="F109" s="670"/>
      <c r="G109" s="670"/>
      <c r="H109" s="670"/>
      <c r="I109" s="670"/>
      <c r="J109" s="670"/>
      <c r="K109" s="670"/>
      <c r="L109" s="670"/>
      <c r="M109" s="670"/>
      <c r="N109" s="670"/>
      <c r="O109" s="670"/>
      <c r="P109" s="670"/>
      <c r="Q109" s="670"/>
      <c r="R109" s="670"/>
      <c r="S109" s="670"/>
      <c r="T109" s="670"/>
      <c r="U109" s="670"/>
      <c r="V109" s="670"/>
      <c r="W109" s="670"/>
    </row>
    <row r="110" spans="1:23" ht="12.75" customHeight="1" x14ac:dyDescent="0.25">
      <c r="A110" s="670"/>
      <c r="B110" s="670"/>
      <c r="C110" s="670"/>
      <c r="D110" s="670"/>
      <c r="E110" s="670"/>
      <c r="F110" s="670"/>
      <c r="G110" s="670"/>
      <c r="H110" s="670"/>
      <c r="I110" s="670"/>
      <c r="J110" s="670"/>
      <c r="K110" s="670"/>
      <c r="L110" s="670"/>
      <c r="M110" s="670"/>
      <c r="N110" s="670"/>
      <c r="O110" s="670"/>
      <c r="P110" s="670"/>
      <c r="Q110" s="670"/>
      <c r="R110" s="670"/>
      <c r="S110" s="670"/>
      <c r="T110" s="670"/>
      <c r="U110" s="670"/>
      <c r="V110" s="670"/>
      <c r="W110" s="670"/>
    </row>
    <row r="111" spans="1:23" ht="12.75" customHeight="1" x14ac:dyDescent="0.25">
      <c r="A111" s="670"/>
      <c r="B111" s="670"/>
      <c r="C111" s="670"/>
      <c r="D111" s="670"/>
      <c r="E111" s="670"/>
      <c r="F111" s="670"/>
      <c r="G111" s="670"/>
      <c r="H111" s="670"/>
      <c r="I111" s="670"/>
      <c r="J111" s="670"/>
      <c r="K111" s="670"/>
      <c r="L111" s="670"/>
      <c r="M111" s="670"/>
      <c r="N111" s="670"/>
      <c r="O111" s="670"/>
      <c r="P111" s="670"/>
      <c r="Q111" s="670"/>
      <c r="R111" s="670"/>
      <c r="S111" s="670"/>
      <c r="T111" s="670"/>
      <c r="U111" s="670"/>
      <c r="V111" s="670"/>
      <c r="W111" s="670"/>
    </row>
    <row r="112" spans="1:23" ht="12.75" customHeight="1" x14ac:dyDescent="0.25">
      <c r="A112" s="670"/>
      <c r="B112" s="670"/>
      <c r="C112" s="670"/>
      <c r="D112" s="670"/>
      <c r="E112" s="670"/>
      <c r="F112" s="670"/>
      <c r="G112" s="670"/>
      <c r="H112" s="670"/>
      <c r="I112" s="670"/>
      <c r="J112" s="670"/>
      <c r="K112" s="670"/>
      <c r="L112" s="670"/>
      <c r="M112" s="670"/>
      <c r="N112" s="670"/>
      <c r="O112" s="670"/>
      <c r="P112" s="670"/>
      <c r="Q112" s="670"/>
      <c r="R112" s="670"/>
      <c r="S112" s="670"/>
      <c r="T112" s="670"/>
      <c r="U112" s="670"/>
      <c r="V112" s="670"/>
      <c r="W112" s="670"/>
    </row>
    <row r="113" spans="1:23" ht="12.75" customHeight="1" x14ac:dyDescent="0.25">
      <c r="A113" s="670"/>
      <c r="B113" s="670"/>
      <c r="C113" s="670"/>
      <c r="D113" s="670"/>
      <c r="E113" s="670"/>
      <c r="F113" s="670"/>
      <c r="G113" s="670"/>
      <c r="H113" s="670"/>
      <c r="I113" s="670"/>
      <c r="J113" s="670"/>
      <c r="K113" s="670"/>
      <c r="L113" s="670"/>
      <c r="M113" s="670"/>
      <c r="N113" s="670"/>
      <c r="O113" s="670"/>
      <c r="P113" s="670"/>
      <c r="Q113" s="670"/>
      <c r="R113" s="670"/>
      <c r="S113" s="670"/>
      <c r="T113" s="670"/>
      <c r="U113" s="670"/>
      <c r="V113" s="670"/>
      <c r="W113" s="670"/>
    </row>
    <row r="114" spans="1:23" ht="12.75" customHeight="1" x14ac:dyDescent="0.25">
      <c r="A114" s="670"/>
      <c r="B114" s="670"/>
      <c r="C114" s="670"/>
      <c r="D114" s="670"/>
      <c r="E114" s="670"/>
      <c r="F114" s="670"/>
      <c r="G114" s="670"/>
      <c r="H114" s="670"/>
      <c r="I114" s="670"/>
      <c r="J114" s="670"/>
      <c r="K114" s="670"/>
      <c r="L114" s="670"/>
      <c r="M114" s="670"/>
      <c r="N114" s="670"/>
      <c r="O114" s="670"/>
      <c r="P114" s="670"/>
      <c r="Q114" s="670"/>
      <c r="R114" s="670"/>
      <c r="S114" s="670"/>
      <c r="T114" s="670"/>
      <c r="U114" s="670"/>
      <c r="V114" s="670"/>
      <c r="W114" s="670"/>
    </row>
    <row r="115" spans="1:23" ht="12.75" customHeight="1" x14ac:dyDescent="0.25">
      <c r="A115" s="670"/>
      <c r="B115" s="670"/>
      <c r="C115" s="670"/>
      <c r="D115" s="670"/>
      <c r="E115" s="670"/>
      <c r="F115" s="670"/>
      <c r="G115" s="670"/>
      <c r="H115" s="670"/>
      <c r="I115" s="670"/>
      <c r="J115" s="670"/>
      <c r="K115" s="670"/>
      <c r="L115" s="670"/>
      <c r="M115" s="670"/>
      <c r="N115" s="670"/>
      <c r="O115" s="670"/>
      <c r="P115" s="670"/>
      <c r="Q115" s="670"/>
      <c r="R115" s="670"/>
      <c r="S115" s="670"/>
      <c r="T115" s="670"/>
      <c r="U115" s="670"/>
      <c r="V115" s="670"/>
      <c r="W115" s="670"/>
    </row>
    <row r="116" spans="1:23" ht="12.75" customHeight="1" x14ac:dyDescent="0.25">
      <c r="A116" s="670"/>
      <c r="B116" s="670"/>
      <c r="C116" s="670"/>
      <c r="D116" s="670"/>
      <c r="E116" s="670"/>
      <c r="F116" s="670"/>
      <c r="G116" s="670"/>
      <c r="H116" s="670"/>
      <c r="I116" s="670"/>
      <c r="J116" s="670"/>
      <c r="K116" s="670"/>
      <c r="L116" s="670"/>
      <c r="M116" s="670"/>
      <c r="N116" s="670"/>
      <c r="O116" s="670"/>
      <c r="P116" s="670"/>
      <c r="Q116" s="670"/>
      <c r="R116" s="670"/>
      <c r="S116" s="670"/>
      <c r="T116" s="670"/>
      <c r="U116" s="670"/>
      <c r="V116" s="670"/>
      <c r="W116" s="670"/>
    </row>
    <row r="117" spans="1:23" ht="12.75" customHeight="1" x14ac:dyDescent="0.25">
      <c r="A117" s="670"/>
      <c r="B117" s="670"/>
      <c r="C117" s="670"/>
      <c r="D117" s="670"/>
      <c r="E117" s="670"/>
      <c r="F117" s="670"/>
      <c r="G117" s="670"/>
      <c r="H117" s="670"/>
      <c r="I117" s="670"/>
      <c r="J117" s="670"/>
      <c r="K117" s="670"/>
      <c r="L117" s="670"/>
      <c r="M117" s="670"/>
      <c r="N117" s="670"/>
      <c r="O117" s="670"/>
      <c r="P117" s="670"/>
      <c r="Q117" s="670"/>
      <c r="R117" s="670"/>
      <c r="S117" s="670"/>
      <c r="T117" s="670"/>
      <c r="U117" s="670"/>
      <c r="V117" s="670"/>
      <c r="W117" s="670"/>
    </row>
    <row r="118" spans="1:23" ht="12.75" customHeight="1" x14ac:dyDescent="0.25">
      <c r="A118" s="670"/>
      <c r="B118" s="670"/>
      <c r="C118" s="670"/>
      <c r="D118" s="670"/>
      <c r="E118" s="670"/>
      <c r="F118" s="670"/>
      <c r="G118" s="670"/>
      <c r="H118" s="670"/>
      <c r="I118" s="670"/>
      <c r="J118" s="670"/>
      <c r="K118" s="670"/>
      <c r="L118" s="670"/>
      <c r="M118" s="670"/>
      <c r="N118" s="670"/>
      <c r="O118" s="670"/>
      <c r="P118" s="670"/>
      <c r="Q118" s="670"/>
      <c r="R118" s="670"/>
      <c r="S118" s="670"/>
      <c r="T118" s="670"/>
      <c r="U118" s="670"/>
      <c r="V118" s="670"/>
      <c r="W118" s="670"/>
    </row>
    <row r="119" spans="1:23" ht="12.75" customHeight="1" x14ac:dyDescent="0.25">
      <c r="A119" s="670"/>
      <c r="B119" s="670"/>
      <c r="C119" s="670"/>
      <c r="D119" s="670"/>
      <c r="E119" s="670"/>
      <c r="F119" s="670"/>
      <c r="G119" s="670"/>
      <c r="H119" s="670"/>
      <c r="I119" s="670"/>
      <c r="J119" s="670"/>
      <c r="K119" s="670"/>
      <c r="L119" s="670"/>
      <c r="M119" s="670"/>
      <c r="N119" s="670"/>
      <c r="O119" s="670"/>
      <c r="P119" s="670"/>
      <c r="Q119" s="670"/>
      <c r="R119" s="670"/>
      <c r="S119" s="670"/>
      <c r="T119" s="670"/>
      <c r="U119" s="670"/>
      <c r="V119" s="670"/>
      <c r="W119" s="670"/>
    </row>
    <row r="120" spans="1:23" ht="12.75" customHeight="1" x14ac:dyDescent="0.25">
      <c r="A120" s="670"/>
      <c r="B120" s="670"/>
      <c r="C120" s="670"/>
      <c r="D120" s="670"/>
      <c r="E120" s="670"/>
      <c r="F120" s="670"/>
      <c r="G120" s="670"/>
      <c r="H120" s="670"/>
      <c r="I120" s="670"/>
      <c r="J120" s="670"/>
      <c r="K120" s="670"/>
      <c r="L120" s="670"/>
      <c r="M120" s="670"/>
      <c r="N120" s="670"/>
      <c r="O120" s="670"/>
      <c r="P120" s="670"/>
      <c r="Q120" s="670"/>
      <c r="R120" s="670"/>
      <c r="S120" s="670"/>
      <c r="T120" s="670"/>
      <c r="U120" s="670"/>
      <c r="V120" s="670"/>
      <c r="W120" s="670"/>
    </row>
    <row r="121" spans="1:23" ht="12.75" customHeight="1" x14ac:dyDescent="0.25">
      <c r="A121" s="670"/>
      <c r="B121" s="670"/>
      <c r="C121" s="670"/>
      <c r="D121" s="670"/>
      <c r="E121" s="670"/>
      <c r="F121" s="670"/>
      <c r="G121" s="670"/>
      <c r="H121" s="670"/>
      <c r="I121" s="670"/>
      <c r="J121" s="670"/>
      <c r="K121" s="670"/>
      <c r="L121" s="670"/>
      <c r="M121" s="670"/>
      <c r="N121" s="670"/>
      <c r="O121" s="670"/>
      <c r="P121" s="670"/>
      <c r="Q121" s="670"/>
      <c r="R121" s="670"/>
      <c r="S121" s="670"/>
      <c r="T121" s="670"/>
      <c r="U121" s="670"/>
      <c r="V121" s="670"/>
      <c r="W121" s="670"/>
    </row>
    <row r="122" spans="1:23" ht="12.75" customHeight="1" x14ac:dyDescent="0.25">
      <c r="A122" s="670"/>
      <c r="B122" s="670"/>
      <c r="C122" s="670"/>
      <c r="D122" s="670"/>
      <c r="E122" s="670"/>
      <c r="F122" s="670"/>
      <c r="G122" s="670"/>
      <c r="H122" s="670"/>
      <c r="I122" s="670"/>
      <c r="J122" s="670"/>
      <c r="K122" s="670"/>
      <c r="L122" s="670"/>
      <c r="M122" s="670"/>
      <c r="N122" s="670"/>
      <c r="O122" s="670"/>
      <c r="P122" s="670"/>
      <c r="Q122" s="670"/>
      <c r="R122" s="670"/>
      <c r="S122" s="670"/>
      <c r="T122" s="670"/>
      <c r="U122" s="670"/>
      <c r="V122" s="670"/>
      <c r="W122" s="670"/>
    </row>
    <row r="123" spans="1:23" ht="12.75" customHeight="1" x14ac:dyDescent="0.25">
      <c r="A123" s="670"/>
      <c r="B123" s="670"/>
      <c r="C123" s="670"/>
      <c r="D123" s="670"/>
      <c r="E123" s="670"/>
      <c r="F123" s="670"/>
      <c r="G123" s="670"/>
      <c r="H123" s="670"/>
      <c r="I123" s="670"/>
      <c r="J123" s="670"/>
      <c r="K123" s="670"/>
      <c r="L123" s="670"/>
      <c r="M123" s="670"/>
      <c r="N123" s="670"/>
      <c r="O123" s="670"/>
      <c r="P123" s="670"/>
      <c r="Q123" s="670"/>
      <c r="R123" s="670"/>
      <c r="S123" s="670"/>
      <c r="T123" s="670"/>
      <c r="U123" s="670"/>
      <c r="V123" s="670"/>
      <c r="W123" s="670"/>
    </row>
    <row r="124" spans="1:23" ht="12.75" customHeight="1" x14ac:dyDescent="0.25">
      <c r="A124" s="670"/>
      <c r="B124" s="670"/>
      <c r="C124" s="670"/>
      <c r="D124" s="670"/>
      <c r="E124" s="670"/>
      <c r="F124" s="670"/>
      <c r="G124" s="670"/>
      <c r="H124" s="670"/>
      <c r="I124" s="670"/>
      <c r="J124" s="670"/>
      <c r="K124" s="670"/>
      <c r="L124" s="670"/>
      <c r="M124" s="670"/>
      <c r="N124" s="670"/>
      <c r="O124" s="670"/>
      <c r="P124" s="670"/>
      <c r="Q124" s="670"/>
      <c r="R124" s="670"/>
      <c r="S124" s="670"/>
      <c r="T124" s="670"/>
      <c r="U124" s="670"/>
      <c r="V124" s="670"/>
      <c r="W124" s="670"/>
    </row>
    <row r="125" spans="1:23" ht="12.75" customHeight="1" x14ac:dyDescent="0.25">
      <c r="A125" s="670"/>
      <c r="B125" s="670"/>
      <c r="C125" s="670"/>
      <c r="D125" s="670"/>
      <c r="E125" s="670"/>
      <c r="F125" s="670"/>
      <c r="G125" s="670"/>
      <c r="H125" s="670"/>
      <c r="I125" s="670"/>
      <c r="J125" s="670"/>
      <c r="K125" s="670"/>
      <c r="L125" s="670"/>
      <c r="M125" s="670"/>
      <c r="N125" s="670"/>
      <c r="O125" s="670"/>
      <c r="P125" s="670"/>
      <c r="Q125" s="670"/>
      <c r="R125" s="670"/>
      <c r="S125" s="670"/>
      <c r="T125" s="670"/>
      <c r="U125" s="670"/>
      <c r="V125" s="670"/>
      <c r="W125" s="670"/>
    </row>
    <row r="126" spans="1:23" ht="12.75" customHeight="1" x14ac:dyDescent="0.25">
      <c r="A126" s="670"/>
      <c r="B126" s="670"/>
      <c r="C126" s="670"/>
      <c r="D126" s="670"/>
      <c r="E126" s="670"/>
      <c r="F126" s="670"/>
      <c r="G126" s="670"/>
      <c r="H126" s="670"/>
      <c r="I126" s="670"/>
      <c r="J126" s="670"/>
      <c r="K126" s="670"/>
      <c r="L126" s="670"/>
      <c r="M126" s="670"/>
      <c r="N126" s="670"/>
      <c r="O126" s="670"/>
      <c r="P126" s="670"/>
      <c r="Q126" s="670"/>
      <c r="R126" s="670"/>
      <c r="S126" s="670"/>
      <c r="T126" s="670"/>
      <c r="U126" s="670"/>
      <c r="V126" s="670"/>
      <c r="W126" s="670"/>
    </row>
    <row r="127" spans="1:23" ht="12.75" customHeight="1" x14ac:dyDescent="0.25">
      <c r="A127" s="670"/>
      <c r="B127" s="670"/>
      <c r="C127" s="670"/>
      <c r="D127" s="670"/>
      <c r="E127" s="670"/>
      <c r="F127" s="670"/>
      <c r="G127" s="670"/>
      <c r="H127" s="670"/>
      <c r="I127" s="670"/>
      <c r="J127" s="670"/>
      <c r="K127" s="670"/>
      <c r="L127" s="670"/>
      <c r="M127" s="670"/>
      <c r="N127" s="670"/>
      <c r="O127" s="670"/>
      <c r="P127" s="670"/>
      <c r="Q127" s="670"/>
      <c r="R127" s="670"/>
      <c r="S127" s="670"/>
      <c r="T127" s="670"/>
      <c r="U127" s="670"/>
      <c r="V127" s="670"/>
      <c r="W127" s="670"/>
    </row>
    <row r="128" spans="1:23" ht="12.75" customHeight="1" x14ac:dyDescent="0.25">
      <c r="A128" s="670"/>
      <c r="B128" s="670"/>
      <c r="C128" s="670"/>
      <c r="D128" s="670"/>
      <c r="E128" s="670"/>
      <c r="F128" s="670"/>
      <c r="G128" s="670"/>
      <c r="H128" s="670"/>
      <c r="I128" s="670"/>
      <c r="J128" s="670"/>
      <c r="K128" s="670"/>
      <c r="L128" s="670"/>
      <c r="M128" s="670"/>
      <c r="N128" s="670"/>
      <c r="O128" s="670"/>
      <c r="P128" s="670"/>
      <c r="Q128" s="670"/>
      <c r="R128" s="670"/>
      <c r="S128" s="670"/>
      <c r="T128" s="670"/>
      <c r="U128" s="670"/>
      <c r="V128" s="670"/>
      <c r="W128" s="670"/>
    </row>
    <row r="129" spans="1:23" ht="12.75" customHeight="1" x14ac:dyDescent="0.25">
      <c r="A129" s="670"/>
      <c r="B129" s="670"/>
      <c r="C129" s="670"/>
      <c r="D129" s="670"/>
      <c r="E129" s="670"/>
      <c r="F129" s="670"/>
      <c r="G129" s="670"/>
      <c r="H129" s="670"/>
      <c r="I129" s="670"/>
      <c r="J129" s="670"/>
      <c r="K129" s="670"/>
      <c r="L129" s="670"/>
      <c r="M129" s="670"/>
      <c r="N129" s="670"/>
      <c r="O129" s="670"/>
      <c r="P129" s="670"/>
      <c r="Q129" s="670"/>
      <c r="R129" s="670"/>
      <c r="S129" s="670"/>
      <c r="T129" s="670"/>
      <c r="U129" s="670"/>
      <c r="V129" s="670"/>
      <c r="W129" s="670"/>
    </row>
    <row r="130" spans="1:23" ht="12.75" customHeight="1" x14ac:dyDescent="0.25">
      <c r="A130" s="670"/>
      <c r="B130" s="670"/>
      <c r="C130" s="670"/>
      <c r="D130" s="670"/>
      <c r="E130" s="670"/>
      <c r="F130" s="670"/>
      <c r="G130" s="670"/>
      <c r="H130" s="670"/>
      <c r="I130" s="670"/>
      <c r="J130" s="670"/>
      <c r="K130" s="670"/>
      <c r="L130" s="670"/>
      <c r="M130" s="670"/>
      <c r="N130" s="670"/>
      <c r="O130" s="670"/>
      <c r="P130" s="670"/>
      <c r="Q130" s="670"/>
      <c r="R130" s="670"/>
      <c r="S130" s="670"/>
      <c r="T130" s="670"/>
      <c r="U130" s="670"/>
      <c r="V130" s="670"/>
      <c r="W130" s="670"/>
    </row>
    <row r="131" spans="1:23" ht="12.75" customHeight="1" x14ac:dyDescent="0.25">
      <c r="A131" s="670"/>
      <c r="B131" s="670"/>
      <c r="C131" s="670"/>
      <c r="D131" s="670"/>
      <c r="E131" s="670"/>
      <c r="F131" s="670"/>
      <c r="G131" s="670"/>
      <c r="H131" s="670"/>
      <c r="I131" s="670"/>
      <c r="J131" s="670"/>
      <c r="K131" s="670"/>
      <c r="L131" s="670"/>
      <c r="M131" s="670"/>
      <c r="N131" s="670"/>
      <c r="O131" s="670"/>
      <c r="P131" s="670"/>
      <c r="Q131" s="670"/>
      <c r="R131" s="670"/>
      <c r="S131" s="670"/>
      <c r="T131" s="670"/>
      <c r="U131" s="670"/>
      <c r="V131" s="670"/>
      <c r="W131" s="670"/>
    </row>
    <row r="132" spans="1:23" ht="12.75" customHeight="1" x14ac:dyDescent="0.25">
      <c r="A132" s="670"/>
      <c r="B132" s="670"/>
      <c r="C132" s="670"/>
      <c r="D132" s="670"/>
      <c r="E132" s="670"/>
      <c r="F132" s="670"/>
      <c r="G132" s="670"/>
      <c r="H132" s="670"/>
      <c r="I132" s="670"/>
      <c r="J132" s="670"/>
      <c r="K132" s="670"/>
      <c r="L132" s="670"/>
      <c r="M132" s="670"/>
      <c r="N132" s="670"/>
      <c r="O132" s="670"/>
      <c r="P132" s="670"/>
      <c r="Q132" s="670"/>
      <c r="R132" s="670"/>
      <c r="S132" s="670"/>
      <c r="T132" s="670"/>
      <c r="U132" s="670"/>
      <c r="V132" s="670"/>
      <c r="W132" s="670"/>
    </row>
    <row r="133" spans="1:23" ht="12.75" customHeight="1" x14ac:dyDescent="0.25">
      <c r="A133" s="670"/>
      <c r="B133" s="670"/>
      <c r="C133" s="670"/>
      <c r="D133" s="670"/>
      <c r="E133" s="670"/>
      <c r="F133" s="670"/>
      <c r="G133" s="670"/>
      <c r="H133" s="670"/>
      <c r="I133" s="670"/>
      <c r="J133" s="670"/>
      <c r="K133" s="670"/>
      <c r="L133" s="670"/>
      <c r="M133" s="670"/>
      <c r="N133" s="670"/>
      <c r="O133" s="670"/>
      <c r="P133" s="670"/>
      <c r="Q133" s="670"/>
      <c r="R133" s="670"/>
      <c r="S133" s="670"/>
      <c r="T133" s="670"/>
      <c r="U133" s="670"/>
      <c r="V133" s="670"/>
      <c r="W133" s="670"/>
    </row>
    <row r="134" spans="1:23" ht="12.75" customHeight="1" x14ac:dyDescent="0.25">
      <c r="A134" s="670"/>
      <c r="B134" s="670"/>
      <c r="C134" s="670"/>
      <c r="D134" s="670"/>
      <c r="E134" s="670"/>
      <c r="F134" s="670"/>
      <c r="G134" s="670"/>
      <c r="H134" s="670"/>
      <c r="I134" s="670"/>
      <c r="J134" s="670"/>
      <c r="K134" s="670"/>
      <c r="L134" s="670"/>
      <c r="M134" s="670"/>
      <c r="N134" s="670"/>
      <c r="O134" s="670"/>
      <c r="P134" s="670"/>
      <c r="Q134" s="670"/>
      <c r="R134" s="670"/>
      <c r="S134" s="670"/>
      <c r="T134" s="670"/>
      <c r="U134" s="670"/>
      <c r="V134" s="670"/>
      <c r="W134" s="670"/>
    </row>
    <row r="135" spans="1:23" ht="12.75" customHeight="1" x14ac:dyDescent="0.25">
      <c r="A135" s="670"/>
      <c r="B135" s="670"/>
      <c r="C135" s="670"/>
      <c r="D135" s="670"/>
      <c r="E135" s="670"/>
      <c r="F135" s="670"/>
      <c r="G135" s="670"/>
      <c r="H135" s="670"/>
      <c r="I135" s="670"/>
      <c r="J135" s="670"/>
      <c r="K135" s="670"/>
      <c r="L135" s="670"/>
      <c r="M135" s="670"/>
      <c r="N135" s="670"/>
      <c r="O135" s="670"/>
      <c r="P135" s="670"/>
      <c r="Q135" s="670"/>
      <c r="R135" s="670"/>
      <c r="S135" s="670"/>
      <c r="T135" s="670"/>
      <c r="U135" s="670"/>
      <c r="V135" s="670"/>
      <c r="W135" s="670"/>
    </row>
    <row r="136" spans="1:23" ht="12.75" customHeight="1" x14ac:dyDescent="0.25">
      <c r="A136" s="670"/>
      <c r="B136" s="670"/>
      <c r="C136" s="670"/>
      <c r="D136" s="670"/>
      <c r="E136" s="670"/>
      <c r="F136" s="670"/>
      <c r="G136" s="670"/>
      <c r="H136" s="670"/>
      <c r="I136" s="670"/>
      <c r="J136" s="670"/>
      <c r="K136" s="670"/>
      <c r="L136" s="670"/>
      <c r="M136" s="670"/>
      <c r="N136" s="670"/>
      <c r="O136" s="670"/>
      <c r="P136" s="670"/>
      <c r="Q136" s="670"/>
      <c r="R136" s="670"/>
      <c r="S136" s="670"/>
      <c r="T136" s="670"/>
      <c r="U136" s="670"/>
      <c r="V136" s="670"/>
      <c r="W136" s="670"/>
    </row>
    <row r="137" spans="1:23" ht="12.75" customHeight="1" x14ac:dyDescent="0.25">
      <c r="A137" s="670"/>
      <c r="B137" s="670"/>
      <c r="C137" s="670"/>
      <c r="D137" s="670"/>
      <c r="E137" s="670"/>
      <c r="F137" s="670"/>
      <c r="G137" s="670"/>
      <c r="H137" s="670"/>
      <c r="I137" s="670"/>
      <c r="J137" s="670"/>
      <c r="K137" s="670"/>
      <c r="L137" s="670"/>
      <c r="M137" s="670"/>
      <c r="N137" s="670"/>
      <c r="O137" s="670"/>
      <c r="P137" s="670"/>
      <c r="Q137" s="670"/>
      <c r="R137" s="670"/>
      <c r="S137" s="670"/>
      <c r="T137" s="670"/>
      <c r="U137" s="670"/>
      <c r="V137" s="670"/>
      <c r="W137" s="670"/>
    </row>
    <row r="138" spans="1:23" ht="12.75" customHeight="1" x14ac:dyDescent="0.25">
      <c r="A138" s="670"/>
      <c r="B138" s="670"/>
      <c r="C138" s="670"/>
      <c r="D138" s="670"/>
      <c r="E138" s="670"/>
      <c r="F138" s="670"/>
      <c r="G138" s="670"/>
      <c r="H138" s="670"/>
      <c r="I138" s="670"/>
      <c r="J138" s="670"/>
      <c r="K138" s="670"/>
      <c r="L138" s="670"/>
      <c r="M138" s="670"/>
      <c r="N138" s="670"/>
      <c r="O138" s="670"/>
      <c r="P138" s="670"/>
      <c r="Q138" s="670"/>
      <c r="R138" s="670"/>
      <c r="S138" s="670"/>
      <c r="T138" s="670"/>
      <c r="U138" s="670"/>
      <c r="V138" s="670"/>
      <c r="W138" s="670"/>
    </row>
    <row r="139" spans="1:23" ht="12.75" customHeight="1" x14ac:dyDescent="0.25">
      <c r="A139" s="670"/>
      <c r="B139" s="670"/>
      <c r="C139" s="670"/>
      <c r="D139" s="670"/>
      <c r="E139" s="670"/>
      <c r="F139" s="670"/>
      <c r="G139" s="670"/>
      <c r="H139" s="670"/>
      <c r="I139" s="670"/>
      <c r="J139" s="670"/>
      <c r="K139" s="670"/>
      <c r="L139" s="670"/>
      <c r="M139" s="670"/>
      <c r="N139" s="670"/>
      <c r="O139" s="670"/>
      <c r="P139" s="670"/>
      <c r="Q139" s="670"/>
      <c r="R139" s="670"/>
      <c r="S139" s="670"/>
      <c r="T139" s="670"/>
      <c r="U139" s="670"/>
      <c r="V139" s="670"/>
      <c r="W139" s="670"/>
    </row>
    <row r="140" spans="1:23" ht="12.75" customHeight="1" x14ac:dyDescent="0.25">
      <c r="A140" s="670"/>
      <c r="B140" s="670"/>
      <c r="C140" s="670"/>
      <c r="D140" s="670"/>
      <c r="E140" s="670"/>
      <c r="F140" s="670"/>
      <c r="G140" s="670"/>
      <c r="H140" s="670"/>
      <c r="I140" s="670"/>
      <c r="J140" s="670"/>
      <c r="K140" s="670"/>
      <c r="L140" s="670"/>
      <c r="M140" s="670"/>
      <c r="N140" s="670"/>
      <c r="O140" s="670"/>
      <c r="P140" s="670"/>
      <c r="Q140" s="670"/>
      <c r="R140" s="670"/>
      <c r="S140" s="670"/>
      <c r="T140" s="670"/>
      <c r="U140" s="670"/>
      <c r="V140" s="670"/>
      <c r="W140" s="670"/>
    </row>
    <row r="141" spans="1:23" ht="12.75" customHeight="1" x14ac:dyDescent="0.25">
      <c r="A141" s="670"/>
      <c r="B141" s="670"/>
      <c r="C141" s="670"/>
      <c r="D141" s="670"/>
      <c r="E141" s="670"/>
      <c r="F141" s="670"/>
      <c r="G141" s="670"/>
      <c r="H141" s="670"/>
      <c r="I141" s="670"/>
      <c r="J141" s="670"/>
      <c r="K141" s="670"/>
      <c r="L141" s="670"/>
      <c r="M141" s="670"/>
      <c r="N141" s="670"/>
      <c r="O141" s="670"/>
      <c r="P141" s="670"/>
      <c r="Q141" s="670"/>
      <c r="R141" s="670"/>
      <c r="S141" s="670"/>
      <c r="T141" s="670"/>
      <c r="U141" s="670"/>
      <c r="V141" s="670"/>
      <c r="W141" s="670"/>
    </row>
    <row r="142" spans="1:23" ht="12.75" customHeight="1" x14ac:dyDescent="0.25">
      <c r="A142" s="670"/>
      <c r="B142" s="670"/>
      <c r="C142" s="670"/>
      <c r="D142" s="670"/>
      <c r="E142" s="670"/>
      <c r="F142" s="670"/>
      <c r="G142" s="670"/>
      <c r="H142" s="670"/>
      <c r="I142" s="670"/>
      <c r="J142" s="670"/>
      <c r="K142" s="670"/>
      <c r="L142" s="670"/>
      <c r="M142" s="670"/>
      <c r="N142" s="670"/>
      <c r="O142" s="670"/>
      <c r="P142" s="670"/>
      <c r="Q142" s="670"/>
      <c r="R142" s="670"/>
      <c r="S142" s="670"/>
      <c r="T142" s="670"/>
      <c r="U142" s="670"/>
      <c r="V142" s="670"/>
      <c r="W142" s="670"/>
    </row>
    <row r="143" spans="1:23" ht="12.75" customHeight="1" x14ac:dyDescent="0.25">
      <c r="A143" s="670"/>
      <c r="B143" s="670"/>
      <c r="C143" s="670"/>
      <c r="D143" s="670"/>
      <c r="E143" s="670"/>
      <c r="F143" s="670"/>
      <c r="G143" s="670"/>
      <c r="H143" s="670"/>
      <c r="I143" s="670"/>
      <c r="J143" s="670"/>
      <c r="K143" s="670"/>
      <c r="L143" s="670"/>
      <c r="M143" s="670"/>
      <c r="N143" s="670"/>
      <c r="O143" s="670"/>
      <c r="P143" s="670"/>
      <c r="Q143" s="670"/>
      <c r="R143" s="670"/>
      <c r="S143" s="670"/>
      <c r="T143" s="670"/>
      <c r="U143" s="670"/>
      <c r="V143" s="670"/>
      <c r="W143" s="670"/>
    </row>
    <row r="144" spans="1:23" ht="12.75" customHeight="1" x14ac:dyDescent="0.25">
      <c r="A144" s="670"/>
      <c r="B144" s="670"/>
      <c r="C144" s="670"/>
      <c r="D144" s="670"/>
      <c r="E144" s="670"/>
      <c r="F144" s="670"/>
      <c r="G144" s="670"/>
      <c r="H144" s="670"/>
      <c r="I144" s="670"/>
      <c r="J144" s="670"/>
      <c r="K144" s="670"/>
      <c r="L144" s="670"/>
      <c r="M144" s="670"/>
      <c r="N144" s="670"/>
      <c r="O144" s="670"/>
      <c r="P144" s="670"/>
      <c r="Q144" s="670"/>
      <c r="R144" s="670"/>
      <c r="S144" s="670"/>
      <c r="T144" s="670"/>
      <c r="U144" s="670"/>
      <c r="V144" s="670"/>
      <c r="W144" s="670"/>
    </row>
    <row r="145" spans="1:23" ht="12.75" customHeight="1" x14ac:dyDescent="0.25">
      <c r="A145" s="670"/>
      <c r="B145" s="670"/>
      <c r="C145" s="670"/>
      <c r="D145" s="670"/>
      <c r="E145" s="670"/>
      <c r="F145" s="670"/>
      <c r="G145" s="670"/>
      <c r="H145" s="670"/>
      <c r="I145" s="670"/>
      <c r="J145" s="670"/>
      <c r="K145" s="670"/>
      <c r="L145" s="670"/>
      <c r="M145" s="670"/>
      <c r="N145" s="670"/>
      <c r="O145" s="670"/>
      <c r="P145" s="670"/>
      <c r="Q145" s="670"/>
      <c r="R145" s="670"/>
      <c r="S145" s="670"/>
      <c r="T145" s="670"/>
      <c r="U145" s="670"/>
      <c r="V145" s="670"/>
      <c r="W145" s="670"/>
    </row>
    <row r="146" spans="1:23" ht="12.75" customHeight="1" x14ac:dyDescent="0.25">
      <c r="A146" s="670"/>
      <c r="B146" s="670"/>
      <c r="C146" s="670"/>
      <c r="D146" s="670"/>
      <c r="E146" s="670"/>
      <c r="F146" s="670"/>
      <c r="G146" s="670"/>
      <c r="H146" s="670"/>
      <c r="I146" s="670"/>
      <c r="J146" s="670"/>
      <c r="K146" s="670"/>
      <c r="L146" s="670"/>
      <c r="M146" s="670"/>
      <c r="N146" s="670"/>
      <c r="O146" s="670"/>
      <c r="P146" s="670"/>
      <c r="Q146" s="670"/>
      <c r="R146" s="670"/>
      <c r="S146" s="670"/>
      <c r="T146" s="670"/>
      <c r="U146" s="670"/>
      <c r="V146" s="670"/>
      <c r="W146" s="670"/>
    </row>
    <row r="147" spans="1:23" ht="12.75" customHeight="1" x14ac:dyDescent="0.25">
      <c r="A147" s="670"/>
      <c r="B147" s="670"/>
      <c r="C147" s="670"/>
      <c r="D147" s="670"/>
      <c r="E147" s="670"/>
      <c r="F147" s="670"/>
      <c r="G147" s="670"/>
      <c r="H147" s="670"/>
      <c r="I147" s="670"/>
      <c r="J147" s="670"/>
      <c r="K147" s="670"/>
      <c r="L147" s="670"/>
      <c r="M147" s="670"/>
      <c r="N147" s="670"/>
      <c r="O147" s="670"/>
      <c r="P147" s="670"/>
      <c r="Q147" s="670"/>
      <c r="R147" s="670"/>
      <c r="S147" s="670"/>
      <c r="T147" s="670"/>
      <c r="U147" s="670"/>
      <c r="V147" s="670"/>
      <c r="W147" s="670"/>
    </row>
    <row r="148" spans="1:23" ht="12.75" customHeight="1" x14ac:dyDescent="0.25">
      <c r="A148" s="670"/>
      <c r="B148" s="670"/>
      <c r="C148" s="670"/>
      <c r="D148" s="670"/>
      <c r="E148" s="670"/>
      <c r="F148" s="670"/>
      <c r="G148" s="670"/>
      <c r="H148" s="670"/>
      <c r="I148" s="670"/>
      <c r="J148" s="670"/>
      <c r="K148" s="670"/>
      <c r="L148" s="670"/>
      <c r="M148" s="670"/>
      <c r="N148" s="670"/>
      <c r="O148" s="670"/>
      <c r="P148" s="670"/>
      <c r="Q148" s="670"/>
      <c r="R148" s="670"/>
      <c r="S148" s="670"/>
      <c r="T148" s="670"/>
      <c r="U148" s="670"/>
      <c r="V148" s="670"/>
      <c r="W148" s="670"/>
    </row>
    <row r="149" spans="1:23" ht="12.75" customHeight="1" x14ac:dyDescent="0.25">
      <c r="A149" s="670"/>
      <c r="B149" s="670"/>
      <c r="C149" s="670"/>
      <c r="D149" s="670"/>
      <c r="E149" s="670"/>
      <c r="F149" s="670"/>
      <c r="G149" s="670"/>
      <c r="H149" s="670"/>
      <c r="I149" s="670"/>
      <c r="J149" s="670"/>
      <c r="K149" s="670"/>
      <c r="L149" s="670"/>
      <c r="M149" s="670"/>
      <c r="N149" s="670"/>
      <c r="O149" s="670"/>
      <c r="P149" s="670"/>
      <c r="Q149" s="670"/>
      <c r="R149" s="670"/>
      <c r="S149" s="670"/>
      <c r="T149" s="670"/>
      <c r="U149" s="670"/>
      <c r="V149" s="670"/>
      <c r="W149" s="670"/>
    </row>
    <row r="150" spans="1:23" ht="12.75" customHeight="1" x14ac:dyDescent="0.25">
      <c r="A150" s="670"/>
      <c r="B150" s="670"/>
      <c r="C150" s="670"/>
      <c r="D150" s="670"/>
      <c r="E150" s="670"/>
      <c r="F150" s="670"/>
      <c r="G150" s="670"/>
      <c r="H150" s="670"/>
      <c r="I150" s="670"/>
      <c r="J150" s="670"/>
      <c r="K150" s="670"/>
      <c r="L150" s="670"/>
      <c r="M150" s="670"/>
      <c r="N150" s="670"/>
      <c r="O150" s="670"/>
      <c r="P150" s="670"/>
      <c r="Q150" s="670"/>
      <c r="R150" s="670"/>
      <c r="S150" s="670"/>
      <c r="T150" s="670"/>
      <c r="U150" s="670"/>
      <c r="V150" s="670"/>
      <c r="W150" s="670"/>
    </row>
    <row r="151" spans="1:23" ht="12.75" customHeight="1" x14ac:dyDescent="0.25">
      <c r="A151" s="670"/>
      <c r="B151" s="670"/>
      <c r="C151" s="670"/>
      <c r="D151" s="670"/>
      <c r="E151" s="670"/>
      <c r="F151" s="670"/>
      <c r="G151" s="670"/>
      <c r="H151" s="670"/>
      <c r="I151" s="670"/>
      <c r="J151" s="670"/>
      <c r="K151" s="670"/>
      <c r="L151" s="670"/>
      <c r="M151" s="670"/>
      <c r="N151" s="670"/>
      <c r="O151" s="670"/>
      <c r="P151" s="670"/>
      <c r="Q151" s="670"/>
      <c r="R151" s="670"/>
      <c r="S151" s="670"/>
      <c r="T151" s="670"/>
      <c r="U151" s="670"/>
      <c r="V151" s="670"/>
      <c r="W151" s="670"/>
    </row>
    <row r="152" spans="1:23" ht="12.75" customHeight="1" x14ac:dyDescent="0.25">
      <c r="A152" s="670"/>
      <c r="B152" s="670"/>
      <c r="C152" s="670"/>
      <c r="D152" s="670"/>
      <c r="E152" s="670"/>
      <c r="F152" s="670"/>
      <c r="G152" s="670"/>
      <c r="H152" s="670"/>
      <c r="I152" s="670"/>
      <c r="J152" s="670"/>
      <c r="K152" s="670"/>
      <c r="L152" s="670"/>
      <c r="M152" s="670"/>
      <c r="N152" s="670"/>
      <c r="O152" s="670"/>
      <c r="P152" s="670"/>
      <c r="Q152" s="670"/>
      <c r="R152" s="670"/>
      <c r="S152" s="670"/>
      <c r="T152" s="670"/>
      <c r="U152" s="670"/>
      <c r="V152" s="670"/>
      <c r="W152" s="670"/>
    </row>
    <row r="153" spans="1:23" ht="12.75" customHeight="1" x14ac:dyDescent="0.25">
      <c r="A153" s="670"/>
      <c r="B153" s="670"/>
      <c r="C153" s="670"/>
      <c r="D153" s="670"/>
      <c r="E153" s="670"/>
      <c r="F153" s="670"/>
      <c r="G153" s="670"/>
      <c r="H153" s="670"/>
      <c r="I153" s="670"/>
      <c r="J153" s="670"/>
      <c r="K153" s="670"/>
      <c r="L153" s="670"/>
      <c r="M153" s="670"/>
      <c r="N153" s="670"/>
      <c r="O153" s="670"/>
      <c r="P153" s="670"/>
      <c r="Q153" s="670"/>
      <c r="R153" s="670"/>
      <c r="S153" s="670"/>
      <c r="T153" s="670"/>
      <c r="U153" s="670"/>
      <c r="V153" s="670"/>
      <c r="W153" s="670"/>
    </row>
    <row r="154" spans="1:23" ht="12.75" customHeight="1" x14ac:dyDescent="0.25">
      <c r="A154" s="670"/>
      <c r="B154" s="670"/>
      <c r="C154" s="670"/>
      <c r="D154" s="670"/>
      <c r="E154" s="670"/>
      <c r="F154" s="670"/>
      <c r="G154" s="670"/>
      <c r="H154" s="670"/>
      <c r="I154" s="670"/>
      <c r="J154" s="670"/>
      <c r="K154" s="670"/>
      <c r="L154" s="670"/>
      <c r="M154" s="670"/>
      <c r="N154" s="670"/>
      <c r="O154" s="670"/>
      <c r="P154" s="670"/>
      <c r="Q154" s="670"/>
      <c r="R154" s="670"/>
      <c r="S154" s="670"/>
      <c r="T154" s="670"/>
      <c r="U154" s="670"/>
      <c r="V154" s="670"/>
      <c r="W154" s="670"/>
    </row>
    <row r="155" spans="1:23" ht="12.75" customHeight="1" x14ac:dyDescent="0.25">
      <c r="A155" s="670"/>
      <c r="B155" s="670"/>
      <c r="C155" s="670"/>
      <c r="D155" s="670"/>
      <c r="E155" s="670"/>
      <c r="F155" s="670"/>
      <c r="G155" s="670"/>
      <c r="H155" s="670"/>
      <c r="I155" s="670"/>
      <c r="J155" s="670"/>
      <c r="K155" s="670"/>
      <c r="L155" s="670"/>
      <c r="M155" s="670"/>
      <c r="N155" s="670"/>
      <c r="O155" s="670"/>
      <c r="P155" s="670"/>
      <c r="Q155" s="670"/>
      <c r="R155" s="670"/>
      <c r="S155" s="670"/>
      <c r="T155" s="670"/>
      <c r="U155" s="670"/>
      <c r="V155" s="670"/>
      <c r="W155" s="670"/>
    </row>
    <row r="156" spans="1:23" ht="12.75" customHeight="1" x14ac:dyDescent="0.25">
      <c r="A156" s="670"/>
      <c r="B156" s="670"/>
      <c r="C156" s="670"/>
      <c r="D156" s="670"/>
      <c r="E156" s="670"/>
      <c r="F156" s="670"/>
      <c r="G156" s="670"/>
      <c r="H156" s="670"/>
      <c r="I156" s="670"/>
      <c r="J156" s="670"/>
      <c r="K156" s="670"/>
      <c r="L156" s="670"/>
      <c r="M156" s="670"/>
      <c r="N156" s="670"/>
      <c r="O156" s="670"/>
      <c r="P156" s="670"/>
      <c r="Q156" s="670"/>
      <c r="R156" s="670"/>
      <c r="S156" s="670"/>
      <c r="T156" s="670"/>
      <c r="U156" s="670"/>
      <c r="V156" s="670"/>
      <c r="W156" s="670"/>
    </row>
    <row r="157" spans="1:23" ht="12.75" customHeight="1" x14ac:dyDescent="0.25">
      <c r="A157" s="670"/>
      <c r="B157" s="670"/>
      <c r="C157" s="670"/>
      <c r="D157" s="670"/>
      <c r="E157" s="670"/>
      <c r="F157" s="670"/>
      <c r="G157" s="670"/>
      <c r="H157" s="670"/>
      <c r="I157" s="670"/>
      <c r="J157" s="670"/>
      <c r="K157" s="670"/>
      <c r="L157" s="670"/>
      <c r="M157" s="670"/>
      <c r="N157" s="670"/>
      <c r="O157" s="670"/>
      <c r="P157" s="670"/>
      <c r="Q157" s="670"/>
      <c r="R157" s="670"/>
      <c r="S157" s="670"/>
      <c r="T157" s="670"/>
      <c r="U157" s="670"/>
      <c r="V157" s="670"/>
      <c r="W157" s="670"/>
    </row>
    <row r="158" spans="1:23" ht="12.75" customHeight="1" x14ac:dyDescent="0.25">
      <c r="A158" s="670"/>
      <c r="B158" s="670"/>
      <c r="C158" s="670"/>
      <c r="D158" s="670"/>
      <c r="E158" s="670"/>
      <c r="F158" s="670"/>
      <c r="G158" s="670"/>
      <c r="H158" s="670"/>
      <c r="I158" s="670"/>
      <c r="J158" s="670"/>
      <c r="K158" s="670"/>
      <c r="L158" s="670"/>
      <c r="M158" s="670"/>
      <c r="N158" s="670"/>
      <c r="O158" s="670"/>
      <c r="P158" s="670"/>
      <c r="Q158" s="670"/>
      <c r="R158" s="670"/>
      <c r="S158" s="670"/>
      <c r="T158" s="670"/>
      <c r="U158" s="670"/>
      <c r="V158" s="670"/>
      <c r="W158" s="670"/>
    </row>
    <row r="159" spans="1:23" ht="12.75" customHeight="1" x14ac:dyDescent="0.25">
      <c r="A159" s="670"/>
      <c r="B159" s="670"/>
      <c r="C159" s="670"/>
      <c r="D159" s="670"/>
      <c r="E159" s="670"/>
      <c r="F159" s="670"/>
      <c r="G159" s="670"/>
      <c r="H159" s="670"/>
      <c r="I159" s="670"/>
      <c r="J159" s="670"/>
      <c r="K159" s="670"/>
      <c r="L159" s="670"/>
      <c r="M159" s="670"/>
      <c r="N159" s="670"/>
      <c r="O159" s="670"/>
      <c r="P159" s="670"/>
      <c r="Q159" s="670"/>
      <c r="R159" s="670"/>
      <c r="S159" s="670"/>
      <c r="T159" s="670"/>
      <c r="U159" s="670"/>
      <c r="V159" s="670"/>
      <c r="W159" s="670"/>
    </row>
    <row r="160" spans="1:23" ht="12.75" customHeight="1" x14ac:dyDescent="0.25">
      <c r="A160" s="670"/>
      <c r="B160" s="670"/>
      <c r="C160" s="670"/>
      <c r="D160" s="670"/>
      <c r="E160" s="670"/>
      <c r="F160" s="670"/>
      <c r="G160" s="670"/>
      <c r="H160" s="670"/>
      <c r="I160" s="670"/>
      <c r="J160" s="670"/>
      <c r="K160" s="670"/>
      <c r="L160" s="670"/>
      <c r="M160" s="670"/>
      <c r="N160" s="670"/>
      <c r="O160" s="670"/>
      <c r="P160" s="670"/>
      <c r="Q160" s="670"/>
      <c r="R160" s="670"/>
      <c r="S160" s="670"/>
      <c r="T160" s="670"/>
      <c r="U160" s="670"/>
      <c r="V160" s="670"/>
      <c r="W160" s="670"/>
    </row>
    <row r="161" spans="1:23" ht="12.75" customHeight="1" x14ac:dyDescent="0.25">
      <c r="A161" s="670"/>
      <c r="B161" s="670"/>
      <c r="C161" s="670"/>
      <c r="D161" s="670"/>
      <c r="E161" s="670"/>
      <c r="F161" s="670"/>
      <c r="G161" s="670"/>
      <c r="H161" s="670"/>
      <c r="I161" s="670"/>
      <c r="J161" s="670"/>
      <c r="K161" s="670"/>
      <c r="L161" s="670"/>
      <c r="M161" s="670"/>
      <c r="N161" s="670"/>
      <c r="O161" s="670"/>
      <c r="P161" s="670"/>
      <c r="Q161" s="670"/>
      <c r="R161" s="670"/>
      <c r="S161" s="670"/>
      <c r="T161" s="670"/>
      <c r="U161" s="670"/>
      <c r="V161" s="670"/>
      <c r="W161" s="670"/>
    </row>
    <row r="162" spans="1:23" ht="12.75" customHeight="1" x14ac:dyDescent="0.25">
      <c r="A162" s="670"/>
      <c r="B162" s="670"/>
      <c r="C162" s="670"/>
      <c r="D162" s="670"/>
      <c r="E162" s="670"/>
      <c r="F162" s="670"/>
      <c r="G162" s="670"/>
      <c r="H162" s="670"/>
      <c r="I162" s="670"/>
      <c r="J162" s="670"/>
      <c r="K162" s="670"/>
      <c r="L162" s="670"/>
      <c r="M162" s="670"/>
      <c r="N162" s="670"/>
      <c r="O162" s="670"/>
      <c r="P162" s="670"/>
      <c r="Q162" s="670"/>
      <c r="R162" s="670"/>
      <c r="S162" s="670"/>
      <c r="T162" s="670"/>
      <c r="U162" s="670"/>
      <c r="V162" s="670"/>
      <c r="W162" s="670"/>
    </row>
    <row r="163" spans="1:23" ht="12.75" customHeight="1" x14ac:dyDescent="0.25">
      <c r="A163" s="670"/>
      <c r="B163" s="670"/>
      <c r="C163" s="670"/>
      <c r="D163" s="670"/>
      <c r="E163" s="670"/>
      <c r="F163" s="670"/>
      <c r="G163" s="670"/>
      <c r="H163" s="670"/>
      <c r="I163" s="670"/>
      <c r="J163" s="670"/>
      <c r="K163" s="670"/>
      <c r="L163" s="670"/>
      <c r="M163" s="670"/>
      <c r="N163" s="670"/>
      <c r="O163" s="670"/>
      <c r="P163" s="670"/>
      <c r="Q163" s="670"/>
      <c r="R163" s="670"/>
      <c r="S163" s="670"/>
      <c r="T163" s="670"/>
      <c r="U163" s="670"/>
      <c r="V163" s="670"/>
      <c r="W163" s="670"/>
    </row>
    <row r="164" spans="1:23" ht="12.75" customHeight="1" x14ac:dyDescent="0.25">
      <c r="A164" s="670"/>
      <c r="B164" s="670"/>
      <c r="C164" s="670"/>
      <c r="D164" s="670"/>
      <c r="E164" s="670"/>
      <c r="F164" s="670"/>
      <c r="G164" s="670"/>
      <c r="H164" s="670"/>
      <c r="I164" s="670"/>
      <c r="J164" s="670"/>
      <c r="K164" s="670"/>
      <c r="L164" s="670"/>
      <c r="M164" s="670"/>
      <c r="N164" s="670"/>
      <c r="O164" s="670"/>
      <c r="P164" s="670"/>
      <c r="Q164" s="670"/>
      <c r="R164" s="670"/>
      <c r="S164" s="670"/>
      <c r="T164" s="670"/>
      <c r="U164" s="670"/>
      <c r="V164" s="670"/>
      <c r="W164" s="670"/>
    </row>
    <row r="165" spans="1:23" ht="12.75" customHeight="1" x14ac:dyDescent="0.25">
      <c r="A165" s="670"/>
      <c r="B165" s="670"/>
      <c r="C165" s="670"/>
      <c r="D165" s="670"/>
      <c r="E165" s="670"/>
      <c r="F165" s="670"/>
      <c r="G165" s="670"/>
      <c r="H165" s="670"/>
      <c r="I165" s="670"/>
      <c r="J165" s="670"/>
      <c r="K165" s="670"/>
      <c r="L165" s="670"/>
      <c r="M165" s="670"/>
      <c r="N165" s="670"/>
      <c r="O165" s="670"/>
      <c r="P165" s="670"/>
      <c r="Q165" s="670"/>
      <c r="R165" s="670"/>
      <c r="S165" s="670"/>
      <c r="T165" s="670"/>
      <c r="U165" s="670"/>
      <c r="V165" s="670"/>
      <c r="W165" s="670"/>
    </row>
    <row r="166" spans="1:23" ht="12.75" customHeight="1" x14ac:dyDescent="0.25">
      <c r="A166" s="670"/>
      <c r="B166" s="670"/>
      <c r="C166" s="670"/>
      <c r="D166" s="670"/>
      <c r="E166" s="670"/>
      <c r="F166" s="670"/>
      <c r="G166" s="670"/>
      <c r="H166" s="670"/>
      <c r="I166" s="670"/>
      <c r="J166" s="670"/>
      <c r="K166" s="670"/>
      <c r="L166" s="670"/>
      <c r="M166" s="670"/>
      <c r="N166" s="670"/>
      <c r="O166" s="670"/>
      <c r="P166" s="670"/>
      <c r="Q166" s="670"/>
      <c r="R166" s="670"/>
      <c r="S166" s="670"/>
      <c r="T166" s="670"/>
      <c r="U166" s="670"/>
      <c r="V166" s="670"/>
      <c r="W166" s="670"/>
    </row>
    <row r="167" spans="1:23" ht="12.75" customHeight="1" x14ac:dyDescent="0.25">
      <c r="A167" s="670"/>
      <c r="B167" s="670"/>
      <c r="C167" s="670"/>
      <c r="D167" s="670"/>
      <c r="E167" s="670"/>
      <c r="F167" s="670"/>
      <c r="G167" s="670"/>
      <c r="H167" s="670"/>
      <c r="I167" s="670"/>
      <c r="J167" s="670"/>
      <c r="K167" s="670"/>
      <c r="L167" s="670"/>
      <c r="M167" s="670"/>
      <c r="N167" s="670"/>
      <c r="O167" s="670"/>
      <c r="P167" s="670"/>
      <c r="Q167" s="670"/>
      <c r="R167" s="670"/>
      <c r="S167" s="670"/>
      <c r="T167" s="670"/>
      <c r="U167" s="670"/>
      <c r="V167" s="670"/>
      <c r="W167" s="670"/>
    </row>
    <row r="168" spans="1:23" ht="12.75" customHeight="1" x14ac:dyDescent="0.25">
      <c r="A168" s="670"/>
      <c r="B168" s="670"/>
      <c r="C168" s="670"/>
      <c r="D168" s="670"/>
      <c r="E168" s="670"/>
      <c r="F168" s="670"/>
      <c r="G168" s="670"/>
      <c r="H168" s="670"/>
      <c r="I168" s="670"/>
      <c r="J168" s="670"/>
      <c r="K168" s="670"/>
      <c r="L168" s="670"/>
      <c r="M168" s="670"/>
      <c r="N168" s="670"/>
      <c r="O168" s="670"/>
      <c r="P168" s="670"/>
      <c r="Q168" s="670"/>
      <c r="R168" s="670"/>
      <c r="S168" s="670"/>
      <c r="T168" s="670"/>
      <c r="U168" s="670"/>
      <c r="V168" s="670"/>
      <c r="W168" s="670"/>
    </row>
    <row r="169" spans="1:23" ht="12.75" customHeight="1" x14ac:dyDescent="0.25">
      <c r="A169" s="670"/>
      <c r="B169" s="670"/>
      <c r="C169" s="670"/>
      <c r="D169" s="670"/>
      <c r="E169" s="670"/>
      <c r="F169" s="670"/>
      <c r="G169" s="670"/>
      <c r="H169" s="670"/>
      <c r="I169" s="670"/>
      <c r="J169" s="670"/>
      <c r="K169" s="670"/>
      <c r="L169" s="670"/>
      <c r="M169" s="670"/>
      <c r="N169" s="670"/>
      <c r="O169" s="670"/>
      <c r="P169" s="670"/>
      <c r="Q169" s="670"/>
      <c r="R169" s="670"/>
      <c r="S169" s="670"/>
      <c r="T169" s="670"/>
      <c r="U169" s="670"/>
      <c r="V169" s="670"/>
      <c r="W169" s="670"/>
    </row>
    <row r="170" spans="1:23" ht="12.75" customHeight="1" x14ac:dyDescent="0.25">
      <c r="A170" s="670"/>
      <c r="B170" s="670"/>
      <c r="C170" s="670"/>
      <c r="D170" s="670"/>
      <c r="E170" s="670"/>
      <c r="F170" s="670"/>
      <c r="G170" s="670"/>
      <c r="H170" s="670"/>
      <c r="I170" s="670"/>
      <c r="J170" s="670"/>
      <c r="K170" s="670"/>
      <c r="L170" s="670"/>
      <c r="M170" s="670"/>
      <c r="N170" s="670"/>
      <c r="O170" s="670"/>
      <c r="P170" s="670"/>
      <c r="Q170" s="670"/>
      <c r="R170" s="670"/>
      <c r="S170" s="670"/>
      <c r="T170" s="670"/>
      <c r="U170" s="670"/>
      <c r="V170" s="670"/>
      <c r="W170" s="670"/>
    </row>
    <row r="171" spans="1:23" ht="12.75" customHeight="1" x14ac:dyDescent="0.25">
      <c r="A171" s="670"/>
      <c r="B171" s="670"/>
      <c r="C171" s="670"/>
      <c r="D171" s="670"/>
      <c r="E171" s="670"/>
      <c r="F171" s="670"/>
      <c r="G171" s="670"/>
      <c r="H171" s="670"/>
      <c r="I171" s="670"/>
      <c r="J171" s="670"/>
      <c r="K171" s="670"/>
      <c r="L171" s="670"/>
      <c r="M171" s="670"/>
      <c r="N171" s="670"/>
      <c r="O171" s="670"/>
      <c r="P171" s="670"/>
      <c r="Q171" s="670"/>
      <c r="R171" s="670"/>
      <c r="S171" s="670"/>
      <c r="T171" s="670"/>
      <c r="U171" s="670"/>
      <c r="V171" s="670"/>
      <c r="W171" s="670"/>
    </row>
    <row r="172" spans="1:23" ht="12.75" customHeight="1" x14ac:dyDescent="0.25">
      <c r="A172" s="670"/>
      <c r="B172" s="670"/>
      <c r="C172" s="670"/>
      <c r="D172" s="670"/>
      <c r="E172" s="670"/>
      <c r="F172" s="670"/>
      <c r="G172" s="670"/>
      <c r="H172" s="670"/>
      <c r="I172" s="670"/>
      <c r="J172" s="670"/>
      <c r="K172" s="670"/>
      <c r="L172" s="670"/>
      <c r="M172" s="670"/>
      <c r="N172" s="670"/>
      <c r="O172" s="670"/>
      <c r="P172" s="670"/>
      <c r="Q172" s="670"/>
      <c r="R172" s="670"/>
      <c r="S172" s="670"/>
      <c r="T172" s="670"/>
      <c r="U172" s="670"/>
      <c r="V172" s="670"/>
      <c r="W172" s="670"/>
    </row>
    <row r="173" spans="1:23" ht="12.75" customHeight="1" x14ac:dyDescent="0.25">
      <c r="A173" s="670"/>
      <c r="B173" s="670"/>
      <c r="C173" s="670"/>
      <c r="D173" s="670"/>
      <c r="E173" s="670"/>
      <c r="F173" s="670"/>
      <c r="G173" s="670"/>
      <c r="H173" s="670"/>
      <c r="I173" s="670"/>
      <c r="J173" s="670"/>
      <c r="K173" s="670"/>
      <c r="L173" s="670"/>
      <c r="M173" s="670"/>
      <c r="N173" s="670"/>
      <c r="O173" s="670"/>
      <c r="P173" s="670"/>
      <c r="Q173" s="670"/>
      <c r="R173" s="670"/>
      <c r="S173" s="670"/>
      <c r="T173" s="670"/>
      <c r="U173" s="670"/>
      <c r="V173" s="670"/>
      <c r="W173" s="670"/>
    </row>
    <row r="174" spans="1:23" ht="12.75" customHeight="1" x14ac:dyDescent="0.25">
      <c r="A174" s="670"/>
      <c r="B174" s="670"/>
      <c r="C174" s="670"/>
      <c r="D174" s="670"/>
      <c r="E174" s="670"/>
      <c r="F174" s="670"/>
      <c r="G174" s="670"/>
      <c r="H174" s="670"/>
      <c r="I174" s="670"/>
      <c r="J174" s="670"/>
      <c r="K174" s="670"/>
      <c r="L174" s="670"/>
      <c r="M174" s="670"/>
      <c r="N174" s="670"/>
      <c r="O174" s="670"/>
      <c r="P174" s="670"/>
      <c r="Q174" s="670"/>
      <c r="R174" s="670"/>
      <c r="S174" s="670"/>
      <c r="T174" s="670"/>
      <c r="U174" s="670"/>
      <c r="V174" s="670"/>
      <c r="W174" s="670"/>
    </row>
    <row r="175" spans="1:23" ht="12.75" customHeight="1" x14ac:dyDescent="0.25">
      <c r="A175" s="670"/>
      <c r="B175" s="670"/>
      <c r="C175" s="670"/>
      <c r="D175" s="670"/>
      <c r="E175" s="670"/>
      <c r="F175" s="670"/>
      <c r="G175" s="670"/>
      <c r="H175" s="670"/>
      <c r="I175" s="670"/>
      <c r="J175" s="670"/>
      <c r="K175" s="670"/>
      <c r="L175" s="670"/>
      <c r="M175" s="670"/>
      <c r="N175" s="670"/>
      <c r="O175" s="670"/>
      <c r="P175" s="670"/>
      <c r="Q175" s="670"/>
      <c r="R175" s="670"/>
      <c r="S175" s="670"/>
      <c r="T175" s="670"/>
      <c r="U175" s="670"/>
      <c r="V175" s="670"/>
      <c r="W175" s="670"/>
    </row>
    <row r="176" spans="1:23" ht="12.75" customHeight="1" x14ac:dyDescent="0.25">
      <c r="A176" s="670"/>
      <c r="B176" s="670"/>
      <c r="C176" s="670"/>
      <c r="D176" s="670"/>
      <c r="E176" s="670"/>
      <c r="F176" s="670"/>
      <c r="G176" s="670"/>
      <c r="H176" s="670"/>
      <c r="I176" s="670"/>
      <c r="J176" s="670"/>
      <c r="K176" s="670"/>
      <c r="L176" s="670"/>
      <c r="M176" s="670"/>
      <c r="N176" s="670"/>
      <c r="O176" s="670"/>
      <c r="P176" s="670"/>
      <c r="Q176" s="670"/>
      <c r="R176" s="670"/>
      <c r="S176" s="670"/>
      <c r="T176" s="670"/>
      <c r="U176" s="670"/>
      <c r="V176" s="670"/>
      <c r="W176" s="670"/>
    </row>
    <row r="177" spans="1:23" ht="12.75" customHeight="1" x14ac:dyDescent="0.25">
      <c r="A177" s="670"/>
      <c r="B177" s="670"/>
      <c r="C177" s="670"/>
      <c r="D177" s="670"/>
      <c r="E177" s="670"/>
      <c r="F177" s="670"/>
      <c r="G177" s="670"/>
      <c r="H177" s="670"/>
      <c r="I177" s="670"/>
      <c r="J177" s="670"/>
      <c r="K177" s="670"/>
      <c r="L177" s="670"/>
      <c r="M177" s="670"/>
      <c r="N177" s="670"/>
      <c r="O177" s="670"/>
      <c r="P177" s="670"/>
      <c r="Q177" s="670"/>
      <c r="R177" s="670"/>
      <c r="S177" s="670"/>
      <c r="T177" s="670"/>
      <c r="U177" s="670"/>
      <c r="V177" s="670"/>
      <c r="W177" s="670"/>
    </row>
    <row r="178" spans="1:23" ht="12.75" customHeight="1" x14ac:dyDescent="0.25">
      <c r="A178" s="670"/>
      <c r="B178" s="670"/>
      <c r="C178" s="670"/>
      <c r="D178" s="670"/>
      <c r="E178" s="670"/>
      <c r="F178" s="670"/>
      <c r="G178" s="670"/>
      <c r="H178" s="670"/>
      <c r="I178" s="670"/>
      <c r="J178" s="670"/>
      <c r="K178" s="670"/>
      <c r="L178" s="670"/>
      <c r="M178" s="670"/>
      <c r="N178" s="670"/>
      <c r="O178" s="670"/>
      <c r="P178" s="670"/>
      <c r="Q178" s="670"/>
      <c r="R178" s="670"/>
      <c r="S178" s="670"/>
      <c r="T178" s="670"/>
      <c r="U178" s="670"/>
      <c r="V178" s="670"/>
      <c r="W178" s="670"/>
    </row>
    <row r="179" spans="1:23" ht="12.75" customHeight="1" x14ac:dyDescent="0.25">
      <c r="A179" s="670"/>
      <c r="B179" s="670"/>
      <c r="C179" s="670"/>
      <c r="D179" s="670"/>
      <c r="E179" s="670"/>
      <c r="F179" s="670"/>
      <c r="G179" s="670"/>
      <c r="H179" s="670"/>
      <c r="I179" s="670"/>
      <c r="J179" s="670"/>
      <c r="K179" s="670"/>
      <c r="L179" s="670"/>
      <c r="M179" s="670"/>
      <c r="N179" s="670"/>
      <c r="O179" s="670"/>
      <c r="P179" s="670"/>
      <c r="Q179" s="670"/>
      <c r="R179" s="670"/>
      <c r="S179" s="670"/>
      <c r="T179" s="670"/>
      <c r="U179" s="670"/>
      <c r="V179" s="670"/>
      <c r="W179" s="670"/>
    </row>
    <row r="180" spans="1:23" ht="12.75" customHeight="1" x14ac:dyDescent="0.25">
      <c r="A180" s="670"/>
      <c r="B180" s="670"/>
      <c r="C180" s="670"/>
      <c r="D180" s="670"/>
      <c r="E180" s="670"/>
      <c r="F180" s="670"/>
      <c r="G180" s="670"/>
      <c r="H180" s="670"/>
      <c r="I180" s="670"/>
      <c r="J180" s="670"/>
      <c r="K180" s="670"/>
      <c r="L180" s="670"/>
      <c r="M180" s="670"/>
      <c r="N180" s="670"/>
      <c r="O180" s="670"/>
      <c r="P180" s="670"/>
      <c r="Q180" s="670"/>
      <c r="R180" s="670"/>
      <c r="S180" s="670"/>
      <c r="T180" s="670"/>
      <c r="U180" s="670"/>
      <c r="V180" s="670"/>
      <c r="W180" s="670"/>
    </row>
    <row r="181" spans="1:23" ht="12.75" customHeight="1" x14ac:dyDescent="0.25">
      <c r="A181" s="670"/>
      <c r="B181" s="670"/>
      <c r="C181" s="670"/>
      <c r="D181" s="670"/>
      <c r="E181" s="670"/>
      <c r="F181" s="670"/>
      <c r="G181" s="670"/>
      <c r="H181" s="670"/>
      <c r="I181" s="670"/>
      <c r="J181" s="670"/>
      <c r="K181" s="670"/>
      <c r="L181" s="670"/>
      <c r="M181" s="670"/>
      <c r="N181" s="670"/>
      <c r="O181" s="670"/>
      <c r="P181" s="670"/>
      <c r="Q181" s="670"/>
      <c r="R181" s="670"/>
      <c r="S181" s="670"/>
      <c r="T181" s="670"/>
      <c r="U181" s="670"/>
      <c r="V181" s="670"/>
      <c r="W181" s="670"/>
    </row>
    <row r="182" spans="1:23" ht="12.75" customHeight="1" x14ac:dyDescent="0.25">
      <c r="A182" s="670"/>
      <c r="B182" s="670"/>
      <c r="C182" s="670"/>
      <c r="D182" s="670"/>
      <c r="E182" s="670"/>
      <c r="F182" s="670"/>
      <c r="G182" s="670"/>
      <c r="H182" s="670"/>
      <c r="I182" s="670"/>
      <c r="J182" s="670"/>
      <c r="K182" s="670"/>
      <c r="L182" s="670"/>
      <c r="M182" s="670"/>
      <c r="N182" s="670"/>
      <c r="O182" s="670"/>
      <c r="P182" s="670"/>
      <c r="Q182" s="670"/>
      <c r="R182" s="670"/>
      <c r="S182" s="670"/>
      <c r="T182" s="670"/>
      <c r="U182" s="670"/>
      <c r="V182" s="670"/>
      <c r="W182" s="670"/>
    </row>
    <row r="183" spans="1:23" ht="12.75" customHeight="1" x14ac:dyDescent="0.25">
      <c r="A183" s="670"/>
      <c r="B183" s="670"/>
      <c r="C183" s="670"/>
      <c r="D183" s="670"/>
      <c r="E183" s="670"/>
      <c r="F183" s="670"/>
      <c r="G183" s="670"/>
      <c r="H183" s="670"/>
      <c r="I183" s="670"/>
      <c r="J183" s="670"/>
      <c r="K183" s="670"/>
      <c r="L183" s="670"/>
      <c r="M183" s="670"/>
      <c r="N183" s="670"/>
      <c r="O183" s="670"/>
      <c r="P183" s="670"/>
      <c r="Q183" s="670"/>
      <c r="R183" s="670"/>
      <c r="S183" s="670"/>
      <c r="T183" s="670"/>
      <c r="U183" s="670"/>
      <c r="V183" s="670"/>
      <c r="W183" s="670"/>
    </row>
    <row r="184" spans="1:23" ht="12.75" customHeight="1" x14ac:dyDescent="0.25">
      <c r="A184" s="670"/>
      <c r="B184" s="670"/>
      <c r="C184" s="670"/>
      <c r="D184" s="670"/>
      <c r="E184" s="670"/>
      <c r="F184" s="670"/>
      <c r="G184" s="670"/>
      <c r="H184" s="670"/>
      <c r="I184" s="670"/>
      <c r="J184" s="670"/>
      <c r="K184" s="670"/>
      <c r="L184" s="670"/>
      <c r="M184" s="670"/>
      <c r="N184" s="670"/>
      <c r="O184" s="670"/>
      <c r="P184" s="670"/>
      <c r="Q184" s="670"/>
      <c r="R184" s="670"/>
      <c r="S184" s="670"/>
      <c r="T184" s="670"/>
      <c r="U184" s="670"/>
      <c r="V184" s="670"/>
      <c r="W184" s="670"/>
    </row>
    <row r="185" spans="1:23" ht="12.75" customHeight="1" x14ac:dyDescent="0.25">
      <c r="A185" s="670"/>
      <c r="B185" s="670"/>
      <c r="C185" s="670"/>
      <c r="D185" s="670"/>
      <c r="E185" s="670"/>
      <c r="F185" s="670"/>
      <c r="G185" s="670"/>
      <c r="H185" s="670"/>
      <c r="I185" s="670"/>
      <c r="J185" s="670"/>
      <c r="K185" s="670"/>
      <c r="L185" s="670"/>
      <c r="M185" s="670"/>
      <c r="N185" s="670"/>
      <c r="O185" s="670"/>
      <c r="P185" s="670"/>
      <c r="Q185" s="670"/>
      <c r="R185" s="670"/>
      <c r="S185" s="670"/>
      <c r="T185" s="670"/>
      <c r="U185" s="670"/>
      <c r="V185" s="670"/>
      <c r="W185" s="670"/>
    </row>
    <row r="186" spans="1:23" ht="12.75" customHeight="1" x14ac:dyDescent="0.25">
      <c r="A186" s="670"/>
      <c r="B186" s="670"/>
      <c r="C186" s="670"/>
      <c r="D186" s="670"/>
      <c r="E186" s="670"/>
      <c r="F186" s="670"/>
      <c r="G186" s="670"/>
      <c r="H186" s="670"/>
      <c r="I186" s="670"/>
      <c r="J186" s="670"/>
      <c r="K186" s="670"/>
      <c r="L186" s="670"/>
      <c r="M186" s="670"/>
      <c r="N186" s="670"/>
      <c r="O186" s="670"/>
      <c r="P186" s="670"/>
      <c r="Q186" s="670"/>
      <c r="R186" s="670"/>
      <c r="S186" s="670"/>
      <c r="T186" s="670"/>
      <c r="U186" s="670"/>
      <c r="V186" s="670"/>
      <c r="W186" s="670"/>
    </row>
    <row r="187" spans="1:23" ht="12.75" customHeight="1" x14ac:dyDescent="0.25">
      <c r="A187" s="670"/>
      <c r="B187" s="670"/>
      <c r="C187" s="670"/>
      <c r="D187" s="670"/>
      <c r="E187" s="670"/>
      <c r="F187" s="670"/>
      <c r="G187" s="670"/>
      <c r="H187" s="670"/>
      <c r="I187" s="670"/>
      <c r="J187" s="670"/>
      <c r="K187" s="670"/>
      <c r="L187" s="670"/>
      <c r="M187" s="670"/>
      <c r="N187" s="670"/>
      <c r="O187" s="670"/>
      <c r="P187" s="670"/>
      <c r="Q187" s="670"/>
      <c r="R187" s="670"/>
      <c r="S187" s="670"/>
      <c r="T187" s="670"/>
      <c r="U187" s="670"/>
      <c r="V187" s="670"/>
      <c r="W187" s="670"/>
    </row>
    <row r="188" spans="1:23" ht="12.75" customHeight="1" x14ac:dyDescent="0.25">
      <c r="A188" s="670"/>
      <c r="B188" s="670"/>
      <c r="C188" s="670"/>
      <c r="D188" s="670"/>
      <c r="E188" s="670"/>
      <c r="F188" s="670"/>
      <c r="G188" s="670"/>
      <c r="H188" s="670"/>
      <c r="I188" s="670"/>
      <c r="J188" s="670"/>
      <c r="K188" s="670"/>
      <c r="L188" s="670"/>
      <c r="M188" s="670"/>
      <c r="N188" s="670"/>
      <c r="O188" s="670"/>
      <c r="P188" s="670"/>
      <c r="Q188" s="670"/>
      <c r="R188" s="670"/>
      <c r="S188" s="670"/>
      <c r="T188" s="670"/>
      <c r="U188" s="670"/>
      <c r="V188" s="670"/>
      <c r="W188" s="670"/>
    </row>
    <row r="189" spans="1:23" ht="12.75" customHeight="1" x14ac:dyDescent="0.25">
      <c r="A189" s="670"/>
      <c r="B189" s="670"/>
      <c r="C189" s="670"/>
      <c r="D189" s="670"/>
      <c r="E189" s="670"/>
      <c r="F189" s="670"/>
      <c r="G189" s="670"/>
      <c r="H189" s="670"/>
      <c r="I189" s="670"/>
      <c r="J189" s="670"/>
      <c r="K189" s="670"/>
      <c r="L189" s="670"/>
      <c r="M189" s="670"/>
      <c r="N189" s="670"/>
      <c r="O189" s="670"/>
      <c r="P189" s="670"/>
      <c r="Q189" s="670"/>
      <c r="R189" s="670"/>
      <c r="S189" s="670"/>
      <c r="T189" s="670"/>
      <c r="U189" s="670"/>
      <c r="V189" s="670"/>
      <c r="W189" s="670"/>
    </row>
    <row r="190" spans="1:23" ht="12.75" customHeight="1" x14ac:dyDescent="0.25">
      <c r="A190" s="670"/>
      <c r="B190" s="670"/>
      <c r="C190" s="670"/>
      <c r="D190" s="670"/>
      <c r="E190" s="670"/>
      <c r="F190" s="670"/>
      <c r="G190" s="670"/>
      <c r="H190" s="670"/>
      <c r="I190" s="670"/>
      <c r="J190" s="670"/>
      <c r="K190" s="670"/>
      <c r="L190" s="670"/>
      <c r="M190" s="670"/>
      <c r="N190" s="670"/>
      <c r="O190" s="670"/>
      <c r="P190" s="670"/>
      <c r="Q190" s="670"/>
      <c r="R190" s="670"/>
      <c r="S190" s="670"/>
      <c r="T190" s="670"/>
      <c r="U190" s="670"/>
      <c r="V190" s="670"/>
      <c r="W190" s="670"/>
    </row>
    <row r="191" spans="1:23" ht="12.75" customHeight="1" x14ac:dyDescent="0.25">
      <c r="A191" s="670"/>
      <c r="B191" s="670"/>
      <c r="C191" s="670"/>
      <c r="D191" s="670"/>
      <c r="E191" s="670"/>
      <c r="F191" s="670"/>
      <c r="G191" s="670"/>
      <c r="H191" s="670"/>
      <c r="I191" s="670"/>
      <c r="J191" s="670"/>
      <c r="K191" s="670"/>
      <c r="L191" s="670"/>
      <c r="M191" s="670"/>
      <c r="N191" s="670"/>
      <c r="O191" s="670"/>
      <c r="P191" s="670"/>
      <c r="Q191" s="670"/>
      <c r="R191" s="670"/>
      <c r="S191" s="670"/>
      <c r="T191" s="670"/>
      <c r="U191" s="670"/>
      <c r="V191" s="670"/>
      <c r="W191" s="670"/>
    </row>
    <row r="192" spans="1:23" ht="12.75" customHeight="1" x14ac:dyDescent="0.25">
      <c r="A192" s="670"/>
      <c r="B192" s="670"/>
      <c r="C192" s="670"/>
      <c r="D192" s="670"/>
      <c r="E192" s="670"/>
      <c r="F192" s="670"/>
      <c r="G192" s="670"/>
      <c r="H192" s="670"/>
      <c r="I192" s="670"/>
      <c r="J192" s="670"/>
      <c r="K192" s="670"/>
      <c r="L192" s="670"/>
      <c r="M192" s="670"/>
      <c r="N192" s="670"/>
      <c r="O192" s="670"/>
      <c r="P192" s="670"/>
      <c r="Q192" s="670"/>
      <c r="R192" s="670"/>
      <c r="S192" s="670"/>
      <c r="T192" s="670"/>
      <c r="U192" s="670"/>
      <c r="V192" s="670"/>
      <c r="W192" s="670"/>
    </row>
    <row r="193" spans="1:23" ht="12.75" customHeight="1" x14ac:dyDescent="0.25">
      <c r="A193" s="670"/>
      <c r="B193" s="670"/>
      <c r="C193" s="670"/>
      <c r="D193" s="670"/>
      <c r="E193" s="670"/>
      <c r="F193" s="670"/>
      <c r="G193" s="670"/>
      <c r="H193" s="670"/>
      <c r="I193" s="670"/>
      <c r="J193" s="670"/>
      <c r="K193" s="670"/>
      <c r="L193" s="670"/>
      <c r="M193" s="670"/>
      <c r="N193" s="670"/>
      <c r="O193" s="670"/>
      <c r="P193" s="670"/>
      <c r="Q193" s="670"/>
      <c r="R193" s="670"/>
      <c r="S193" s="670"/>
      <c r="T193" s="670"/>
      <c r="U193" s="670"/>
      <c r="V193" s="670"/>
      <c r="W193" s="670"/>
    </row>
    <row r="194" spans="1:23" ht="12.75" customHeight="1" x14ac:dyDescent="0.25">
      <c r="A194" s="670"/>
      <c r="B194" s="670"/>
      <c r="C194" s="670"/>
      <c r="D194" s="670"/>
      <c r="E194" s="670"/>
      <c r="F194" s="670"/>
      <c r="G194" s="670"/>
      <c r="H194" s="670"/>
      <c r="I194" s="670"/>
      <c r="J194" s="670"/>
      <c r="K194" s="670"/>
      <c r="L194" s="670"/>
      <c r="M194" s="670"/>
      <c r="N194" s="670"/>
      <c r="O194" s="670"/>
      <c r="P194" s="670"/>
      <c r="Q194" s="670"/>
      <c r="R194" s="670"/>
      <c r="S194" s="670"/>
      <c r="T194" s="670"/>
      <c r="U194" s="670"/>
      <c r="V194" s="670"/>
      <c r="W194" s="670"/>
    </row>
    <row r="195" spans="1:23" ht="12.75" customHeight="1" x14ac:dyDescent="0.25">
      <c r="A195" s="670"/>
      <c r="B195" s="670"/>
      <c r="C195" s="670"/>
      <c r="D195" s="670"/>
      <c r="E195" s="670"/>
      <c r="F195" s="670"/>
      <c r="G195" s="670"/>
      <c r="H195" s="670"/>
      <c r="I195" s="670"/>
      <c r="J195" s="670"/>
      <c r="K195" s="670"/>
      <c r="L195" s="670"/>
      <c r="M195" s="670"/>
      <c r="N195" s="670"/>
      <c r="O195" s="670"/>
      <c r="P195" s="670"/>
      <c r="Q195" s="670"/>
      <c r="R195" s="670"/>
      <c r="S195" s="670"/>
      <c r="T195" s="670"/>
      <c r="U195" s="670"/>
      <c r="V195" s="670"/>
      <c r="W195" s="670"/>
    </row>
    <row r="196" spans="1:23" ht="12.75" customHeight="1" x14ac:dyDescent="0.25">
      <c r="A196" s="670"/>
      <c r="B196" s="670"/>
      <c r="C196" s="670"/>
      <c r="D196" s="670"/>
      <c r="E196" s="670"/>
      <c r="F196" s="670"/>
      <c r="G196" s="670"/>
      <c r="H196" s="670"/>
      <c r="I196" s="670"/>
      <c r="J196" s="670"/>
      <c r="K196" s="670"/>
      <c r="L196" s="670"/>
      <c r="M196" s="670"/>
      <c r="N196" s="670"/>
      <c r="O196" s="670"/>
      <c r="P196" s="670"/>
      <c r="Q196" s="670"/>
      <c r="R196" s="670"/>
      <c r="S196" s="670"/>
      <c r="T196" s="670"/>
      <c r="U196" s="670"/>
      <c r="V196" s="670"/>
      <c r="W196" s="670"/>
    </row>
    <row r="197" spans="1:23" ht="12.75" customHeight="1" x14ac:dyDescent="0.25">
      <c r="A197" s="670"/>
      <c r="B197" s="670"/>
      <c r="C197" s="670"/>
      <c r="D197" s="670"/>
      <c r="E197" s="670"/>
      <c r="F197" s="670"/>
      <c r="G197" s="670"/>
      <c r="H197" s="670"/>
      <c r="I197" s="670"/>
      <c r="J197" s="670"/>
      <c r="K197" s="670"/>
      <c r="L197" s="670"/>
      <c r="M197" s="670"/>
      <c r="N197" s="670"/>
      <c r="O197" s="670"/>
      <c r="P197" s="670"/>
      <c r="Q197" s="670"/>
      <c r="R197" s="670"/>
      <c r="S197" s="670"/>
      <c r="T197" s="670"/>
      <c r="U197" s="670"/>
      <c r="V197" s="670"/>
      <c r="W197" s="670"/>
    </row>
    <row r="198" spans="1:23" ht="12.75" customHeight="1" x14ac:dyDescent="0.25">
      <c r="A198" s="670"/>
      <c r="B198" s="670"/>
      <c r="C198" s="670"/>
      <c r="D198" s="670"/>
      <c r="E198" s="670"/>
      <c r="F198" s="670"/>
      <c r="G198" s="670"/>
      <c r="H198" s="670"/>
      <c r="I198" s="670"/>
      <c r="J198" s="670"/>
      <c r="K198" s="670"/>
      <c r="L198" s="670"/>
      <c r="M198" s="670"/>
      <c r="N198" s="670"/>
      <c r="O198" s="670"/>
      <c r="P198" s="670"/>
      <c r="Q198" s="670"/>
      <c r="R198" s="670"/>
      <c r="S198" s="670"/>
      <c r="T198" s="670"/>
      <c r="U198" s="670"/>
      <c r="V198" s="670"/>
      <c r="W198" s="670"/>
    </row>
    <row r="199" spans="1:23" ht="12.75" customHeight="1" x14ac:dyDescent="0.25">
      <c r="A199" s="670"/>
      <c r="B199" s="670"/>
      <c r="C199" s="670"/>
      <c r="D199" s="670"/>
      <c r="E199" s="670"/>
      <c r="F199" s="670"/>
      <c r="G199" s="670"/>
      <c r="H199" s="670"/>
      <c r="I199" s="670"/>
      <c r="J199" s="670"/>
      <c r="K199" s="670"/>
      <c r="L199" s="670"/>
      <c r="M199" s="670"/>
      <c r="N199" s="670"/>
      <c r="O199" s="670"/>
      <c r="P199" s="670"/>
      <c r="Q199" s="670"/>
      <c r="R199" s="670"/>
      <c r="S199" s="670"/>
      <c r="T199" s="670"/>
      <c r="U199" s="670"/>
      <c r="V199" s="670"/>
      <c r="W199" s="670"/>
    </row>
    <row r="200" spans="1:23" ht="12.75" customHeight="1" x14ac:dyDescent="0.25">
      <c r="A200" s="670"/>
      <c r="B200" s="670"/>
      <c r="C200" s="670"/>
      <c r="D200" s="670"/>
      <c r="E200" s="670"/>
      <c r="F200" s="670"/>
      <c r="G200" s="670"/>
      <c r="H200" s="670"/>
      <c r="I200" s="670"/>
      <c r="J200" s="670"/>
      <c r="K200" s="670"/>
      <c r="L200" s="670"/>
      <c r="M200" s="670"/>
      <c r="N200" s="670"/>
      <c r="O200" s="670"/>
      <c r="P200" s="670"/>
      <c r="Q200" s="670"/>
      <c r="R200" s="670"/>
      <c r="S200" s="670"/>
      <c r="T200" s="670"/>
      <c r="U200" s="670"/>
      <c r="V200" s="670"/>
      <c r="W200" s="670"/>
    </row>
    <row r="201" spans="1:23" ht="12.75" customHeight="1" x14ac:dyDescent="0.25">
      <c r="A201" s="670"/>
      <c r="B201" s="670"/>
      <c r="C201" s="670"/>
      <c r="D201" s="670"/>
      <c r="E201" s="670"/>
      <c r="F201" s="670"/>
      <c r="G201" s="670"/>
      <c r="H201" s="670"/>
      <c r="I201" s="670"/>
      <c r="J201" s="670"/>
      <c r="K201" s="670"/>
      <c r="L201" s="670"/>
      <c r="M201" s="670"/>
      <c r="N201" s="670"/>
      <c r="O201" s="670"/>
      <c r="P201" s="670"/>
      <c r="Q201" s="670"/>
      <c r="R201" s="670"/>
      <c r="S201" s="670"/>
      <c r="T201" s="670"/>
      <c r="U201" s="670"/>
      <c r="V201" s="670"/>
      <c r="W201" s="670"/>
    </row>
    <row r="202" spans="1:23" ht="12.75" customHeight="1" x14ac:dyDescent="0.25">
      <c r="A202" s="670"/>
      <c r="B202" s="670"/>
      <c r="C202" s="670"/>
      <c r="D202" s="670"/>
      <c r="E202" s="670"/>
      <c r="F202" s="670"/>
      <c r="G202" s="670"/>
      <c r="H202" s="670"/>
      <c r="I202" s="670"/>
      <c r="J202" s="670"/>
      <c r="K202" s="670"/>
      <c r="L202" s="670"/>
      <c r="M202" s="670"/>
      <c r="N202" s="670"/>
      <c r="O202" s="670"/>
      <c r="P202" s="670"/>
      <c r="Q202" s="670"/>
      <c r="R202" s="670"/>
      <c r="S202" s="670"/>
      <c r="T202" s="670"/>
      <c r="U202" s="670"/>
      <c r="V202" s="670"/>
      <c r="W202" s="670"/>
    </row>
    <row r="203" spans="1:23" ht="12.75" customHeight="1" x14ac:dyDescent="0.25">
      <c r="A203" s="670"/>
      <c r="B203" s="670"/>
      <c r="C203" s="670"/>
      <c r="D203" s="670"/>
      <c r="E203" s="670"/>
      <c r="F203" s="670"/>
      <c r="G203" s="670"/>
      <c r="H203" s="670"/>
      <c r="I203" s="670"/>
      <c r="J203" s="670"/>
      <c r="K203" s="670"/>
      <c r="L203" s="670"/>
      <c r="M203" s="670"/>
      <c r="N203" s="670"/>
      <c r="O203" s="670"/>
      <c r="P203" s="670"/>
      <c r="Q203" s="670"/>
      <c r="R203" s="670"/>
      <c r="S203" s="670"/>
      <c r="T203" s="670"/>
      <c r="U203" s="670"/>
      <c r="V203" s="670"/>
      <c r="W203" s="670"/>
    </row>
    <row r="204" spans="1:23" ht="12.75" customHeight="1" x14ac:dyDescent="0.25">
      <c r="A204" s="670"/>
      <c r="B204" s="670"/>
      <c r="C204" s="670"/>
      <c r="D204" s="670"/>
      <c r="E204" s="670"/>
      <c r="F204" s="670"/>
      <c r="G204" s="670"/>
      <c r="H204" s="670"/>
      <c r="I204" s="670"/>
      <c r="J204" s="670"/>
      <c r="K204" s="670"/>
      <c r="L204" s="670"/>
      <c r="M204" s="670"/>
      <c r="N204" s="670"/>
      <c r="O204" s="670"/>
      <c r="P204" s="670"/>
      <c r="Q204" s="670"/>
      <c r="R204" s="670"/>
      <c r="S204" s="670"/>
      <c r="T204" s="670"/>
      <c r="U204" s="670"/>
      <c r="V204" s="670"/>
      <c r="W204" s="670"/>
    </row>
    <row r="205" spans="1:23" ht="12.75" customHeight="1" x14ac:dyDescent="0.25">
      <c r="A205" s="670"/>
      <c r="B205" s="670"/>
      <c r="C205" s="670"/>
      <c r="D205" s="670"/>
      <c r="E205" s="670"/>
      <c r="F205" s="670"/>
      <c r="G205" s="670"/>
      <c r="H205" s="670"/>
      <c r="I205" s="670"/>
      <c r="J205" s="670"/>
      <c r="K205" s="670"/>
      <c r="L205" s="670"/>
      <c r="M205" s="670"/>
      <c r="N205" s="670"/>
      <c r="O205" s="670"/>
      <c r="P205" s="670"/>
      <c r="Q205" s="670"/>
      <c r="R205" s="670"/>
      <c r="S205" s="670"/>
      <c r="T205" s="670"/>
      <c r="U205" s="670"/>
      <c r="V205" s="670"/>
      <c r="W205" s="670"/>
    </row>
    <row r="206" spans="1:23" ht="12.75" customHeight="1" x14ac:dyDescent="0.25">
      <c r="A206" s="670"/>
      <c r="B206" s="670"/>
      <c r="C206" s="670"/>
      <c r="D206" s="670"/>
      <c r="E206" s="670"/>
      <c r="F206" s="670"/>
      <c r="G206" s="670"/>
      <c r="H206" s="670"/>
      <c r="I206" s="670"/>
      <c r="J206" s="670"/>
      <c r="K206" s="670"/>
      <c r="L206" s="670"/>
      <c r="M206" s="670"/>
      <c r="N206" s="670"/>
      <c r="O206" s="670"/>
      <c r="P206" s="670"/>
      <c r="Q206" s="670"/>
      <c r="R206" s="670"/>
      <c r="S206" s="670"/>
      <c r="T206" s="670"/>
      <c r="U206" s="670"/>
      <c r="V206" s="670"/>
      <c r="W206" s="670"/>
    </row>
    <row r="207" spans="1:23" ht="12.75" customHeight="1" x14ac:dyDescent="0.25">
      <c r="A207" s="670"/>
      <c r="B207" s="670"/>
      <c r="C207" s="670"/>
      <c r="D207" s="670"/>
      <c r="E207" s="670"/>
      <c r="F207" s="670"/>
      <c r="G207" s="670"/>
      <c r="H207" s="670"/>
      <c r="I207" s="670"/>
      <c r="J207" s="670"/>
      <c r="K207" s="670"/>
      <c r="L207" s="670"/>
      <c r="M207" s="670"/>
      <c r="N207" s="670"/>
      <c r="O207" s="670"/>
      <c r="P207" s="670"/>
      <c r="Q207" s="670"/>
      <c r="R207" s="670"/>
      <c r="S207" s="670"/>
      <c r="T207" s="670"/>
      <c r="U207" s="670"/>
      <c r="V207" s="670"/>
      <c r="W207" s="670"/>
    </row>
    <row r="208" spans="1:23" ht="12.75" customHeight="1" x14ac:dyDescent="0.25">
      <c r="A208" s="670"/>
      <c r="B208" s="670"/>
      <c r="C208" s="670"/>
      <c r="D208" s="670"/>
      <c r="E208" s="670"/>
      <c r="F208" s="670"/>
      <c r="G208" s="670"/>
      <c r="H208" s="670"/>
      <c r="I208" s="670"/>
      <c r="J208" s="670"/>
      <c r="K208" s="670"/>
      <c r="L208" s="670"/>
      <c r="M208" s="670"/>
      <c r="N208" s="670"/>
      <c r="O208" s="670"/>
      <c r="P208" s="670"/>
      <c r="Q208" s="670"/>
      <c r="R208" s="670"/>
      <c r="S208" s="670"/>
      <c r="T208" s="670"/>
      <c r="U208" s="670"/>
      <c r="V208" s="670"/>
      <c r="W208" s="670"/>
    </row>
    <row r="209" spans="1:23" ht="12.75" customHeight="1" x14ac:dyDescent="0.25">
      <c r="A209" s="670"/>
      <c r="B209" s="670"/>
      <c r="C209" s="670"/>
      <c r="D209" s="670"/>
      <c r="E209" s="670"/>
      <c r="F209" s="670"/>
      <c r="G209" s="670"/>
      <c r="H209" s="670"/>
      <c r="I209" s="670"/>
      <c r="J209" s="670"/>
      <c r="K209" s="670"/>
      <c r="L209" s="670"/>
      <c r="M209" s="670"/>
      <c r="N209" s="670"/>
      <c r="O209" s="670"/>
      <c r="P209" s="670"/>
      <c r="Q209" s="670"/>
      <c r="R209" s="670"/>
      <c r="S209" s="670"/>
      <c r="T209" s="670"/>
      <c r="U209" s="670"/>
      <c r="V209" s="670"/>
      <c r="W209" s="670"/>
    </row>
    <row r="210" spans="1:23" ht="12.75" customHeight="1" x14ac:dyDescent="0.25">
      <c r="A210" s="670"/>
      <c r="B210" s="670"/>
      <c r="C210" s="670"/>
      <c r="D210" s="670"/>
      <c r="E210" s="670"/>
      <c r="F210" s="670"/>
      <c r="G210" s="670"/>
      <c r="H210" s="670"/>
      <c r="I210" s="670"/>
      <c r="J210" s="670"/>
      <c r="K210" s="670"/>
      <c r="L210" s="670"/>
      <c r="M210" s="670"/>
      <c r="N210" s="670"/>
      <c r="O210" s="670"/>
      <c r="P210" s="670"/>
      <c r="Q210" s="670"/>
      <c r="R210" s="670"/>
      <c r="S210" s="670"/>
      <c r="T210" s="670"/>
      <c r="U210" s="670"/>
      <c r="V210" s="670"/>
      <c r="W210" s="670"/>
    </row>
    <row r="211" spans="1:23" ht="12.75" customHeight="1" x14ac:dyDescent="0.25">
      <c r="A211" s="670"/>
      <c r="B211" s="670"/>
      <c r="C211" s="670"/>
      <c r="D211" s="670"/>
      <c r="E211" s="670"/>
      <c r="F211" s="670"/>
      <c r="G211" s="670"/>
      <c r="H211" s="670"/>
      <c r="I211" s="670"/>
      <c r="J211" s="670"/>
      <c r="K211" s="670"/>
      <c r="L211" s="670"/>
      <c r="M211" s="670"/>
      <c r="N211" s="670"/>
      <c r="O211" s="670"/>
      <c r="P211" s="670"/>
      <c r="Q211" s="670"/>
      <c r="R211" s="670"/>
      <c r="S211" s="670"/>
      <c r="T211" s="670"/>
      <c r="U211" s="670"/>
      <c r="V211" s="670"/>
      <c r="W211" s="670"/>
    </row>
    <row r="212" spans="1:23" ht="12.75" customHeight="1" x14ac:dyDescent="0.25">
      <c r="A212" s="670"/>
      <c r="B212" s="670"/>
      <c r="C212" s="670"/>
      <c r="D212" s="670"/>
      <c r="E212" s="670"/>
      <c r="F212" s="670"/>
      <c r="G212" s="670"/>
      <c r="H212" s="670"/>
      <c r="I212" s="670"/>
      <c r="J212" s="670"/>
      <c r="K212" s="670"/>
      <c r="L212" s="670"/>
      <c r="M212" s="670"/>
      <c r="N212" s="670"/>
      <c r="O212" s="670"/>
      <c r="P212" s="670"/>
      <c r="Q212" s="670"/>
      <c r="R212" s="670"/>
      <c r="S212" s="670"/>
      <c r="T212" s="670"/>
      <c r="U212" s="670"/>
      <c r="V212" s="670"/>
      <c r="W212" s="670"/>
    </row>
    <row r="213" spans="1:23" ht="12.75" customHeight="1" x14ac:dyDescent="0.25">
      <c r="A213" s="670"/>
      <c r="B213" s="670"/>
      <c r="C213" s="670"/>
      <c r="D213" s="670"/>
      <c r="E213" s="670"/>
      <c r="F213" s="670"/>
      <c r="G213" s="670"/>
      <c r="H213" s="670"/>
      <c r="I213" s="670"/>
      <c r="J213" s="670"/>
      <c r="K213" s="670"/>
      <c r="L213" s="670"/>
      <c r="M213" s="670"/>
      <c r="N213" s="670"/>
      <c r="O213" s="670"/>
      <c r="P213" s="670"/>
      <c r="Q213" s="670"/>
      <c r="R213" s="670"/>
      <c r="S213" s="670"/>
      <c r="T213" s="670"/>
      <c r="U213" s="670"/>
      <c r="V213" s="670"/>
      <c r="W213" s="670"/>
    </row>
    <row r="214" spans="1:23" ht="12.75" customHeight="1" x14ac:dyDescent="0.25">
      <c r="A214" s="670"/>
      <c r="B214" s="670"/>
      <c r="C214" s="670"/>
      <c r="D214" s="670"/>
      <c r="E214" s="670"/>
      <c r="F214" s="670"/>
      <c r="G214" s="670"/>
      <c r="H214" s="670"/>
      <c r="I214" s="670"/>
      <c r="J214" s="670"/>
      <c r="K214" s="670"/>
      <c r="L214" s="670"/>
      <c r="M214" s="670"/>
      <c r="N214" s="670"/>
      <c r="O214" s="670"/>
      <c r="P214" s="670"/>
      <c r="Q214" s="670"/>
      <c r="R214" s="670"/>
      <c r="S214" s="670"/>
      <c r="T214" s="670"/>
      <c r="U214" s="670"/>
      <c r="V214" s="670"/>
      <c r="W214" s="670"/>
    </row>
    <row r="215" spans="1:23" ht="12.75" customHeight="1" x14ac:dyDescent="0.25">
      <c r="A215" s="670"/>
      <c r="B215" s="670"/>
      <c r="C215" s="670"/>
      <c r="D215" s="670"/>
      <c r="E215" s="670"/>
      <c r="F215" s="670"/>
      <c r="G215" s="670"/>
      <c r="H215" s="670"/>
      <c r="I215" s="670"/>
      <c r="J215" s="670"/>
      <c r="K215" s="670"/>
      <c r="L215" s="670"/>
      <c r="M215" s="670"/>
      <c r="N215" s="670"/>
      <c r="O215" s="670"/>
      <c r="P215" s="670"/>
      <c r="Q215" s="670"/>
      <c r="R215" s="670"/>
      <c r="S215" s="670"/>
      <c r="T215" s="670"/>
      <c r="U215" s="670"/>
      <c r="V215" s="670"/>
      <c r="W215" s="670"/>
    </row>
    <row r="216" spans="1:23" ht="12.75" customHeight="1" x14ac:dyDescent="0.25">
      <c r="A216" s="670"/>
      <c r="B216" s="670"/>
      <c r="C216" s="670"/>
      <c r="D216" s="670"/>
      <c r="E216" s="670"/>
      <c r="F216" s="670"/>
      <c r="G216" s="670"/>
      <c r="H216" s="670"/>
      <c r="I216" s="670"/>
      <c r="J216" s="670"/>
      <c r="K216" s="670"/>
      <c r="L216" s="670"/>
      <c r="M216" s="670"/>
      <c r="N216" s="670"/>
      <c r="O216" s="670"/>
      <c r="P216" s="670"/>
      <c r="Q216" s="670"/>
      <c r="R216" s="670"/>
      <c r="S216" s="670"/>
      <c r="T216" s="670"/>
      <c r="U216" s="670"/>
      <c r="V216" s="670"/>
      <c r="W216" s="670"/>
    </row>
    <row r="217" spans="1:23" ht="12.75" customHeight="1" x14ac:dyDescent="0.25">
      <c r="A217" s="670"/>
      <c r="B217" s="670"/>
      <c r="C217" s="670"/>
      <c r="D217" s="670"/>
      <c r="E217" s="670"/>
      <c r="F217" s="670"/>
      <c r="G217" s="670"/>
      <c r="H217" s="670"/>
      <c r="I217" s="670"/>
      <c r="J217" s="670"/>
      <c r="K217" s="670"/>
      <c r="L217" s="670"/>
      <c r="M217" s="670"/>
      <c r="N217" s="670"/>
      <c r="O217" s="670"/>
      <c r="P217" s="670"/>
      <c r="Q217" s="670"/>
      <c r="R217" s="670"/>
      <c r="S217" s="670"/>
      <c r="T217" s="670"/>
      <c r="U217" s="670"/>
      <c r="V217" s="670"/>
      <c r="W217" s="670"/>
    </row>
    <row r="218" spans="1:23" ht="12.75" customHeight="1" x14ac:dyDescent="0.25">
      <c r="A218" s="670"/>
      <c r="B218" s="670"/>
      <c r="C218" s="670"/>
      <c r="D218" s="670"/>
      <c r="E218" s="670"/>
      <c r="F218" s="670"/>
      <c r="G218" s="670"/>
      <c r="H218" s="670"/>
      <c r="I218" s="670"/>
      <c r="J218" s="670"/>
      <c r="K218" s="670"/>
      <c r="L218" s="670"/>
      <c r="M218" s="670"/>
      <c r="N218" s="670"/>
      <c r="O218" s="670"/>
      <c r="P218" s="670"/>
      <c r="Q218" s="670"/>
      <c r="R218" s="670"/>
      <c r="S218" s="670"/>
      <c r="T218" s="670"/>
      <c r="U218" s="670"/>
      <c r="V218" s="670"/>
      <c r="W218" s="670"/>
    </row>
    <row r="219" spans="1:23" ht="12.75" customHeight="1" x14ac:dyDescent="0.25">
      <c r="A219" s="670"/>
      <c r="B219" s="670"/>
      <c r="C219" s="670"/>
      <c r="D219" s="670"/>
      <c r="E219" s="670"/>
      <c r="F219" s="670"/>
      <c r="G219" s="670"/>
      <c r="H219" s="670"/>
      <c r="I219" s="670"/>
      <c r="J219" s="670"/>
      <c r="K219" s="670"/>
      <c r="L219" s="670"/>
      <c r="M219" s="670"/>
      <c r="N219" s="670"/>
      <c r="O219" s="670"/>
      <c r="P219" s="670"/>
      <c r="Q219" s="670"/>
      <c r="R219" s="670"/>
      <c r="S219" s="670"/>
      <c r="T219" s="670"/>
      <c r="U219" s="670"/>
      <c r="V219" s="670"/>
      <c r="W219" s="670"/>
    </row>
    <row r="220" spans="1:23" ht="12.75" customHeight="1" x14ac:dyDescent="0.25">
      <c r="A220" s="670"/>
      <c r="B220" s="670"/>
      <c r="C220" s="670"/>
      <c r="D220" s="670"/>
      <c r="E220" s="670"/>
      <c r="F220" s="670"/>
      <c r="G220" s="670"/>
      <c r="H220" s="670"/>
      <c r="I220" s="670"/>
      <c r="J220" s="670"/>
      <c r="K220" s="670"/>
      <c r="L220" s="670"/>
      <c r="M220" s="670"/>
      <c r="N220" s="670"/>
      <c r="O220" s="670"/>
      <c r="P220" s="670"/>
      <c r="Q220" s="670"/>
      <c r="R220" s="670"/>
      <c r="S220" s="670"/>
      <c r="T220" s="670"/>
      <c r="U220" s="670"/>
      <c r="V220" s="670"/>
      <c r="W220" s="670"/>
    </row>
    <row r="221" spans="1:23" ht="12.75" customHeight="1" x14ac:dyDescent="0.25">
      <c r="A221" s="670"/>
      <c r="B221" s="670"/>
      <c r="C221" s="670"/>
      <c r="D221" s="670"/>
      <c r="E221" s="670"/>
      <c r="F221" s="670"/>
      <c r="G221" s="670"/>
      <c r="H221" s="670"/>
      <c r="I221" s="670"/>
      <c r="J221" s="670"/>
      <c r="K221" s="670"/>
      <c r="L221" s="670"/>
      <c r="M221" s="670"/>
      <c r="N221" s="670"/>
      <c r="O221" s="670"/>
      <c r="P221" s="670"/>
      <c r="Q221" s="670"/>
      <c r="R221" s="670"/>
      <c r="S221" s="670"/>
      <c r="T221" s="670"/>
      <c r="U221" s="670"/>
      <c r="V221" s="670"/>
      <c r="W221" s="670"/>
    </row>
    <row r="222" spans="1:23" ht="12.75" customHeight="1" x14ac:dyDescent="0.25">
      <c r="A222" s="670"/>
      <c r="B222" s="670"/>
      <c r="C222" s="670"/>
      <c r="D222" s="670"/>
      <c r="E222" s="670"/>
      <c r="F222" s="670"/>
      <c r="G222" s="670"/>
      <c r="H222" s="670"/>
      <c r="I222" s="670"/>
      <c r="J222" s="670"/>
      <c r="K222" s="670"/>
      <c r="L222" s="670"/>
      <c r="M222" s="670"/>
      <c r="N222" s="670"/>
      <c r="O222" s="670"/>
      <c r="P222" s="670"/>
      <c r="Q222" s="670"/>
      <c r="R222" s="670"/>
      <c r="S222" s="670"/>
      <c r="T222" s="670"/>
      <c r="U222" s="670"/>
      <c r="V222" s="670"/>
      <c r="W222" s="670"/>
    </row>
    <row r="223" spans="1:23" ht="12.75" customHeight="1" x14ac:dyDescent="0.25">
      <c r="A223" s="670"/>
      <c r="B223" s="670"/>
      <c r="C223" s="670"/>
      <c r="D223" s="670"/>
      <c r="E223" s="670"/>
      <c r="F223" s="670"/>
      <c r="G223" s="670"/>
      <c r="H223" s="670"/>
      <c r="I223" s="670"/>
      <c r="J223" s="670"/>
      <c r="K223" s="670"/>
      <c r="L223" s="670"/>
      <c r="M223" s="670"/>
      <c r="N223" s="670"/>
      <c r="O223" s="670"/>
      <c r="P223" s="670"/>
      <c r="Q223" s="670"/>
      <c r="R223" s="670"/>
      <c r="S223" s="670"/>
      <c r="T223" s="670"/>
      <c r="U223" s="670"/>
      <c r="V223" s="670"/>
      <c r="W223" s="670"/>
    </row>
    <row r="224" spans="1:23" ht="12.75" customHeight="1" x14ac:dyDescent="0.25">
      <c r="A224" s="670"/>
      <c r="B224" s="670"/>
      <c r="C224" s="670"/>
      <c r="D224" s="670"/>
      <c r="E224" s="670"/>
      <c r="F224" s="670"/>
      <c r="G224" s="670"/>
      <c r="H224" s="670"/>
      <c r="I224" s="670"/>
      <c r="J224" s="670"/>
      <c r="K224" s="670"/>
      <c r="L224" s="670"/>
      <c r="M224" s="670"/>
      <c r="N224" s="670"/>
      <c r="O224" s="670"/>
      <c r="P224" s="670"/>
      <c r="Q224" s="670"/>
      <c r="R224" s="670"/>
      <c r="S224" s="670"/>
      <c r="T224" s="670"/>
      <c r="U224" s="670"/>
      <c r="V224" s="670"/>
      <c r="W224" s="670"/>
    </row>
    <row r="225" spans="1:23" ht="12.75" customHeight="1" x14ac:dyDescent="0.25">
      <c r="A225" s="670"/>
      <c r="B225" s="670"/>
      <c r="C225" s="670"/>
      <c r="D225" s="670"/>
      <c r="E225" s="670"/>
      <c r="F225" s="670"/>
      <c r="G225" s="670"/>
      <c r="H225" s="670"/>
      <c r="I225" s="670"/>
      <c r="J225" s="670"/>
      <c r="K225" s="670"/>
      <c r="L225" s="670"/>
      <c r="M225" s="670"/>
      <c r="N225" s="670"/>
      <c r="O225" s="670"/>
      <c r="P225" s="670"/>
      <c r="Q225" s="670"/>
      <c r="R225" s="670"/>
      <c r="S225" s="670"/>
      <c r="T225" s="670"/>
      <c r="U225" s="670"/>
      <c r="V225" s="670"/>
      <c r="W225" s="670"/>
    </row>
    <row r="226" spans="1:23" ht="12.75" customHeight="1" x14ac:dyDescent="0.25">
      <c r="A226" s="670"/>
      <c r="B226" s="670"/>
      <c r="C226" s="670"/>
      <c r="D226" s="670"/>
      <c r="E226" s="670"/>
      <c r="F226" s="670"/>
      <c r="G226" s="670"/>
      <c r="H226" s="670"/>
      <c r="I226" s="670"/>
      <c r="J226" s="670"/>
      <c r="K226" s="670"/>
      <c r="L226" s="670"/>
      <c r="M226" s="670"/>
      <c r="N226" s="670"/>
      <c r="O226" s="670"/>
      <c r="P226" s="670"/>
      <c r="Q226" s="670"/>
      <c r="R226" s="670"/>
      <c r="S226" s="670"/>
      <c r="T226" s="670"/>
      <c r="U226" s="670"/>
      <c r="V226" s="670"/>
      <c r="W226" s="670"/>
    </row>
    <row r="227" spans="1:23" ht="12.75" customHeight="1" x14ac:dyDescent="0.25">
      <c r="A227" s="670"/>
      <c r="B227" s="670"/>
      <c r="C227" s="670"/>
      <c r="D227" s="670"/>
      <c r="E227" s="670"/>
      <c r="F227" s="670"/>
      <c r="G227" s="670"/>
      <c r="H227" s="670"/>
      <c r="I227" s="670"/>
      <c r="J227" s="670"/>
      <c r="K227" s="670"/>
      <c r="L227" s="670"/>
      <c r="M227" s="670"/>
      <c r="N227" s="670"/>
      <c r="O227" s="670"/>
      <c r="P227" s="670"/>
      <c r="Q227" s="670"/>
      <c r="R227" s="670"/>
      <c r="S227" s="670"/>
      <c r="T227" s="670"/>
      <c r="U227" s="670"/>
      <c r="V227" s="670"/>
      <c r="W227" s="670"/>
    </row>
    <row r="228" spans="1:23" ht="12.75" customHeight="1" x14ac:dyDescent="0.25">
      <c r="A228" s="670"/>
      <c r="B228" s="670"/>
      <c r="C228" s="670"/>
      <c r="D228" s="670"/>
      <c r="E228" s="670"/>
      <c r="F228" s="670"/>
      <c r="G228" s="670"/>
      <c r="H228" s="670"/>
      <c r="I228" s="670"/>
      <c r="J228" s="670"/>
      <c r="K228" s="670"/>
      <c r="L228" s="670"/>
      <c r="M228" s="670"/>
      <c r="N228" s="670"/>
      <c r="O228" s="670"/>
      <c r="P228" s="670"/>
      <c r="Q228" s="670"/>
      <c r="R228" s="670"/>
      <c r="S228" s="670"/>
      <c r="T228" s="670"/>
      <c r="U228" s="670"/>
      <c r="V228" s="670"/>
      <c r="W228" s="670"/>
    </row>
    <row r="229" spans="1:23" ht="12.75" customHeight="1" x14ac:dyDescent="0.25">
      <c r="A229" s="670"/>
      <c r="B229" s="670"/>
      <c r="C229" s="670"/>
      <c r="D229" s="670"/>
      <c r="E229" s="670"/>
      <c r="F229" s="670"/>
      <c r="G229" s="670"/>
      <c r="H229" s="670"/>
      <c r="I229" s="670"/>
      <c r="J229" s="670"/>
      <c r="K229" s="670"/>
      <c r="L229" s="670"/>
      <c r="M229" s="670"/>
      <c r="N229" s="670"/>
      <c r="O229" s="670"/>
      <c r="P229" s="670"/>
      <c r="Q229" s="670"/>
      <c r="R229" s="670"/>
      <c r="S229" s="670"/>
      <c r="T229" s="670"/>
      <c r="U229" s="670"/>
      <c r="V229" s="670"/>
      <c r="W229" s="670"/>
    </row>
    <row r="230" spans="1:23" ht="12.75" customHeight="1" x14ac:dyDescent="0.25">
      <c r="A230" s="670"/>
      <c r="B230" s="670"/>
      <c r="C230" s="670"/>
      <c r="D230" s="670"/>
      <c r="E230" s="670"/>
      <c r="F230" s="670"/>
      <c r="G230" s="670"/>
      <c r="H230" s="670"/>
      <c r="I230" s="670"/>
      <c r="J230" s="670"/>
      <c r="K230" s="670"/>
      <c r="L230" s="670"/>
      <c r="M230" s="670"/>
      <c r="N230" s="670"/>
      <c r="O230" s="670"/>
      <c r="P230" s="670"/>
      <c r="Q230" s="670"/>
      <c r="R230" s="670"/>
      <c r="S230" s="670"/>
      <c r="T230" s="670"/>
      <c r="U230" s="670"/>
      <c r="V230" s="670"/>
      <c r="W230" s="670"/>
    </row>
    <row r="231" spans="1:23" ht="12.75" customHeight="1" x14ac:dyDescent="0.25">
      <c r="A231" s="670"/>
      <c r="B231" s="670"/>
      <c r="C231" s="670"/>
      <c r="D231" s="670"/>
      <c r="E231" s="670"/>
      <c r="F231" s="670"/>
      <c r="G231" s="670"/>
      <c r="H231" s="670"/>
      <c r="I231" s="670"/>
      <c r="J231" s="670"/>
      <c r="K231" s="670"/>
      <c r="L231" s="670"/>
      <c r="M231" s="670"/>
      <c r="N231" s="670"/>
      <c r="O231" s="670"/>
      <c r="P231" s="670"/>
      <c r="Q231" s="670"/>
      <c r="R231" s="670"/>
      <c r="S231" s="670"/>
      <c r="T231" s="670"/>
      <c r="U231" s="670"/>
      <c r="V231" s="670"/>
      <c r="W231" s="670"/>
    </row>
    <row r="232" spans="1:23" ht="12.75" customHeight="1" x14ac:dyDescent="0.25">
      <c r="A232" s="670"/>
      <c r="B232" s="670"/>
      <c r="C232" s="670"/>
      <c r="D232" s="670"/>
      <c r="E232" s="670"/>
      <c r="F232" s="670"/>
      <c r="G232" s="670"/>
      <c r="H232" s="670"/>
      <c r="I232" s="670"/>
      <c r="J232" s="670"/>
      <c r="K232" s="670"/>
      <c r="L232" s="670"/>
      <c r="M232" s="670"/>
      <c r="N232" s="670"/>
      <c r="O232" s="670"/>
      <c r="P232" s="670"/>
      <c r="Q232" s="670"/>
      <c r="R232" s="670"/>
      <c r="S232" s="670"/>
      <c r="T232" s="670"/>
      <c r="U232" s="670"/>
      <c r="V232" s="670"/>
      <c r="W232" s="670"/>
    </row>
    <row r="233" spans="1:23" ht="12.75" customHeight="1" x14ac:dyDescent="0.25">
      <c r="A233" s="670"/>
      <c r="B233" s="670"/>
      <c r="C233" s="670"/>
      <c r="D233" s="670"/>
      <c r="E233" s="670"/>
      <c r="F233" s="670"/>
      <c r="G233" s="670"/>
      <c r="H233" s="670"/>
      <c r="I233" s="670"/>
      <c r="J233" s="670"/>
      <c r="K233" s="670"/>
      <c r="L233" s="670"/>
      <c r="M233" s="670"/>
      <c r="N233" s="670"/>
      <c r="O233" s="670"/>
      <c r="P233" s="670"/>
      <c r="Q233" s="670"/>
      <c r="R233" s="670"/>
      <c r="S233" s="670"/>
      <c r="T233" s="670"/>
      <c r="U233" s="670"/>
      <c r="V233" s="670"/>
      <c r="W233" s="670"/>
    </row>
    <row r="234" spans="1:23" ht="12.75" customHeight="1" x14ac:dyDescent="0.25">
      <c r="A234" s="670"/>
      <c r="B234" s="670"/>
      <c r="C234" s="670"/>
      <c r="D234" s="670"/>
      <c r="E234" s="670"/>
      <c r="F234" s="670"/>
      <c r="G234" s="670"/>
      <c r="H234" s="670"/>
      <c r="I234" s="670"/>
      <c r="J234" s="670"/>
      <c r="K234" s="670"/>
      <c r="L234" s="670"/>
      <c r="M234" s="670"/>
      <c r="N234" s="670"/>
      <c r="O234" s="670"/>
      <c r="P234" s="670"/>
      <c r="Q234" s="670"/>
      <c r="R234" s="670"/>
      <c r="S234" s="670"/>
      <c r="T234" s="670"/>
      <c r="U234" s="670"/>
      <c r="V234" s="670"/>
      <c r="W234" s="670"/>
    </row>
    <row r="235" spans="1:23" ht="12.75" customHeight="1" x14ac:dyDescent="0.25">
      <c r="A235" s="670"/>
      <c r="B235" s="670"/>
      <c r="C235" s="670"/>
      <c r="D235" s="670"/>
      <c r="E235" s="670"/>
      <c r="F235" s="670"/>
      <c r="G235" s="670"/>
      <c r="H235" s="670"/>
      <c r="I235" s="670"/>
      <c r="J235" s="670"/>
      <c r="K235" s="670"/>
      <c r="L235" s="670"/>
      <c r="M235" s="670"/>
      <c r="N235" s="670"/>
      <c r="O235" s="670"/>
      <c r="P235" s="670"/>
      <c r="Q235" s="670"/>
      <c r="R235" s="670"/>
      <c r="S235" s="670"/>
      <c r="T235" s="670"/>
      <c r="U235" s="670"/>
      <c r="V235" s="670"/>
      <c r="W235" s="670"/>
    </row>
    <row r="236" spans="1:23" ht="12.75" customHeight="1" x14ac:dyDescent="0.25">
      <c r="A236" s="670"/>
      <c r="B236" s="670"/>
      <c r="C236" s="670"/>
      <c r="D236" s="670"/>
      <c r="E236" s="670"/>
      <c r="F236" s="670"/>
      <c r="G236" s="670"/>
      <c r="H236" s="670"/>
      <c r="I236" s="670"/>
      <c r="J236" s="670"/>
      <c r="K236" s="670"/>
      <c r="L236" s="670"/>
      <c r="M236" s="670"/>
      <c r="N236" s="670"/>
      <c r="O236" s="670"/>
      <c r="P236" s="670"/>
      <c r="Q236" s="670"/>
      <c r="R236" s="670"/>
      <c r="S236" s="670"/>
      <c r="T236" s="670"/>
      <c r="U236" s="670"/>
      <c r="V236" s="670"/>
      <c r="W236" s="670"/>
    </row>
    <row r="237" spans="1:23" ht="12.75" customHeight="1" x14ac:dyDescent="0.25">
      <c r="A237" s="670"/>
      <c r="B237" s="670"/>
      <c r="C237" s="670"/>
      <c r="D237" s="670"/>
      <c r="E237" s="670"/>
      <c r="F237" s="670"/>
      <c r="G237" s="670"/>
      <c r="H237" s="670"/>
      <c r="I237" s="670"/>
      <c r="J237" s="670"/>
      <c r="K237" s="670"/>
      <c r="L237" s="670"/>
      <c r="M237" s="670"/>
      <c r="N237" s="670"/>
      <c r="O237" s="670"/>
      <c r="P237" s="670"/>
      <c r="Q237" s="670"/>
      <c r="R237" s="670"/>
      <c r="S237" s="670"/>
      <c r="T237" s="670"/>
      <c r="U237" s="670"/>
      <c r="V237" s="670"/>
      <c r="W237" s="670"/>
    </row>
    <row r="238" spans="1:23" ht="12.75" customHeight="1" x14ac:dyDescent="0.25">
      <c r="A238" s="670"/>
      <c r="B238" s="670"/>
      <c r="C238" s="670"/>
      <c r="D238" s="670"/>
      <c r="E238" s="670"/>
      <c r="F238" s="670"/>
      <c r="G238" s="670"/>
      <c r="H238" s="670"/>
      <c r="I238" s="670"/>
      <c r="J238" s="670"/>
      <c r="K238" s="670"/>
      <c r="L238" s="670"/>
      <c r="M238" s="670"/>
      <c r="N238" s="670"/>
      <c r="O238" s="670"/>
      <c r="P238" s="670"/>
      <c r="Q238" s="670"/>
      <c r="R238" s="670"/>
      <c r="S238" s="670"/>
      <c r="T238" s="670"/>
      <c r="U238" s="670"/>
      <c r="V238" s="670"/>
      <c r="W238" s="670"/>
    </row>
    <row r="239" spans="1:23" ht="12.75" customHeight="1" x14ac:dyDescent="0.25">
      <c r="A239" s="670"/>
      <c r="B239" s="670"/>
      <c r="C239" s="670"/>
      <c r="D239" s="670"/>
      <c r="E239" s="670"/>
      <c r="F239" s="670"/>
      <c r="G239" s="670"/>
      <c r="H239" s="670"/>
      <c r="I239" s="670"/>
      <c r="J239" s="670"/>
      <c r="K239" s="670"/>
      <c r="L239" s="670"/>
      <c r="M239" s="670"/>
      <c r="N239" s="670"/>
      <c r="O239" s="670"/>
      <c r="P239" s="670"/>
      <c r="Q239" s="670"/>
      <c r="R239" s="670"/>
      <c r="S239" s="670"/>
      <c r="T239" s="670"/>
      <c r="U239" s="670"/>
      <c r="V239" s="670"/>
      <c r="W239" s="670"/>
    </row>
    <row r="240" spans="1:23" ht="12.75" customHeight="1" x14ac:dyDescent="0.25">
      <c r="A240" s="670"/>
      <c r="B240" s="670"/>
      <c r="C240" s="670"/>
      <c r="D240" s="670"/>
      <c r="E240" s="670"/>
      <c r="F240" s="670"/>
      <c r="G240" s="670"/>
      <c r="H240" s="670"/>
      <c r="I240" s="670"/>
      <c r="J240" s="670"/>
      <c r="K240" s="670"/>
      <c r="L240" s="670"/>
      <c r="M240" s="670"/>
      <c r="N240" s="670"/>
      <c r="O240" s="670"/>
      <c r="P240" s="670"/>
      <c r="Q240" s="670"/>
      <c r="R240" s="670"/>
      <c r="S240" s="670"/>
      <c r="T240" s="670"/>
      <c r="U240" s="670"/>
      <c r="V240" s="670"/>
      <c r="W240" s="670"/>
    </row>
    <row r="241" spans="1:23" ht="12.75" customHeight="1" x14ac:dyDescent="0.25">
      <c r="A241" s="670"/>
      <c r="B241" s="670"/>
      <c r="C241" s="670"/>
      <c r="D241" s="670"/>
      <c r="E241" s="670"/>
      <c r="F241" s="670"/>
      <c r="G241" s="670"/>
      <c r="H241" s="670"/>
      <c r="I241" s="670"/>
      <c r="J241" s="670"/>
      <c r="K241" s="670"/>
      <c r="L241" s="670"/>
      <c r="M241" s="670"/>
      <c r="N241" s="670"/>
      <c r="O241" s="670"/>
      <c r="P241" s="670"/>
      <c r="Q241" s="670"/>
      <c r="R241" s="670"/>
      <c r="S241" s="670"/>
      <c r="T241" s="670"/>
      <c r="U241" s="670"/>
      <c r="V241" s="670"/>
      <c r="W241" s="670"/>
    </row>
    <row r="242" spans="1:23" ht="12.75" customHeight="1" x14ac:dyDescent="0.25">
      <c r="A242" s="670"/>
      <c r="B242" s="670"/>
      <c r="C242" s="670"/>
      <c r="D242" s="670"/>
      <c r="E242" s="670"/>
      <c r="F242" s="670"/>
      <c r="G242" s="670"/>
      <c r="H242" s="670"/>
      <c r="I242" s="670"/>
      <c r="J242" s="670"/>
      <c r="K242" s="670"/>
      <c r="L242" s="670"/>
      <c r="M242" s="670"/>
      <c r="N242" s="670"/>
      <c r="O242" s="670"/>
      <c r="P242" s="670"/>
      <c r="Q242" s="670"/>
      <c r="R242" s="670"/>
      <c r="S242" s="670"/>
      <c r="T242" s="670"/>
      <c r="U242" s="670"/>
      <c r="V242" s="670"/>
      <c r="W242" s="670"/>
    </row>
    <row r="243" spans="1:23" ht="12.75" customHeight="1" x14ac:dyDescent="0.25">
      <c r="A243" s="670"/>
      <c r="B243" s="670"/>
      <c r="C243" s="670"/>
      <c r="D243" s="670"/>
      <c r="E243" s="670"/>
      <c r="F243" s="670"/>
      <c r="G243" s="670"/>
      <c r="H243" s="670"/>
      <c r="I243" s="670"/>
      <c r="J243" s="670"/>
      <c r="K243" s="670"/>
      <c r="L243" s="670"/>
      <c r="M243" s="670"/>
      <c r="N243" s="670"/>
      <c r="O243" s="670"/>
      <c r="P243" s="670"/>
      <c r="Q243" s="670"/>
      <c r="R243" s="670"/>
      <c r="S243" s="670"/>
      <c r="T243" s="670"/>
      <c r="U243" s="670"/>
      <c r="V243" s="670"/>
      <c r="W243" s="670"/>
    </row>
    <row r="244" spans="1:23" ht="12.75" customHeight="1" x14ac:dyDescent="0.25">
      <c r="A244" s="670"/>
      <c r="B244" s="670"/>
      <c r="C244" s="670"/>
      <c r="D244" s="670"/>
      <c r="E244" s="670"/>
      <c r="F244" s="670"/>
      <c r="G244" s="670"/>
      <c r="H244" s="670"/>
      <c r="I244" s="670"/>
      <c r="J244" s="670"/>
      <c r="K244" s="670"/>
      <c r="L244" s="670"/>
      <c r="M244" s="670"/>
      <c r="N244" s="670"/>
      <c r="O244" s="670"/>
      <c r="P244" s="670"/>
      <c r="Q244" s="670"/>
      <c r="R244" s="670"/>
      <c r="S244" s="670"/>
      <c r="T244" s="670"/>
      <c r="U244" s="670"/>
      <c r="V244" s="670"/>
      <c r="W244" s="670"/>
    </row>
    <row r="245" spans="1:23" ht="12.75" customHeight="1" x14ac:dyDescent="0.25">
      <c r="A245" s="670"/>
      <c r="B245" s="670"/>
      <c r="C245" s="670"/>
      <c r="D245" s="670"/>
      <c r="E245" s="670"/>
      <c r="F245" s="670"/>
      <c r="G245" s="670"/>
      <c r="H245" s="670"/>
      <c r="I245" s="670"/>
      <c r="J245" s="670"/>
      <c r="K245" s="670"/>
      <c r="L245" s="670"/>
      <c r="M245" s="670"/>
      <c r="N245" s="670"/>
      <c r="O245" s="670"/>
      <c r="P245" s="670"/>
      <c r="Q245" s="670"/>
      <c r="R245" s="670"/>
      <c r="S245" s="670"/>
      <c r="T245" s="670"/>
      <c r="U245" s="670"/>
      <c r="V245" s="670"/>
      <c r="W245" s="670"/>
    </row>
    <row r="246" spans="1:23" ht="12.75" customHeight="1" x14ac:dyDescent="0.25">
      <c r="A246" s="670"/>
      <c r="B246" s="670"/>
      <c r="C246" s="670"/>
      <c r="D246" s="670"/>
      <c r="E246" s="670"/>
      <c r="F246" s="670"/>
      <c r="G246" s="670"/>
      <c r="H246" s="670"/>
      <c r="I246" s="670"/>
      <c r="J246" s="670"/>
      <c r="K246" s="670"/>
      <c r="L246" s="670"/>
      <c r="M246" s="670"/>
      <c r="N246" s="670"/>
      <c r="O246" s="670"/>
      <c r="P246" s="670"/>
      <c r="Q246" s="670"/>
      <c r="R246" s="670"/>
      <c r="S246" s="670"/>
      <c r="T246" s="670"/>
      <c r="U246" s="670"/>
      <c r="V246" s="670"/>
      <c r="W246" s="670"/>
    </row>
    <row r="247" spans="1:23" ht="12.75" customHeight="1" x14ac:dyDescent="0.25">
      <c r="A247" s="670"/>
      <c r="B247" s="670"/>
      <c r="C247" s="670"/>
      <c r="D247" s="670"/>
      <c r="E247" s="670"/>
      <c r="F247" s="670"/>
      <c r="G247" s="670"/>
      <c r="H247" s="670"/>
      <c r="I247" s="670"/>
      <c r="J247" s="670"/>
      <c r="K247" s="670"/>
      <c r="L247" s="670"/>
      <c r="M247" s="670"/>
      <c r="N247" s="670"/>
      <c r="O247" s="670"/>
      <c r="P247" s="670"/>
      <c r="Q247" s="670"/>
      <c r="R247" s="670"/>
      <c r="S247" s="670"/>
      <c r="T247" s="670"/>
      <c r="U247" s="670"/>
      <c r="V247" s="670"/>
      <c r="W247" s="670"/>
    </row>
    <row r="248" spans="1:23" ht="12.75" customHeight="1" x14ac:dyDescent="0.25">
      <c r="A248" s="670"/>
      <c r="B248" s="670"/>
      <c r="C248" s="670"/>
      <c r="D248" s="670"/>
      <c r="E248" s="670"/>
      <c r="F248" s="670"/>
      <c r="G248" s="670"/>
      <c r="H248" s="670"/>
      <c r="I248" s="670"/>
      <c r="J248" s="670"/>
      <c r="K248" s="670"/>
      <c r="L248" s="670"/>
      <c r="M248" s="670"/>
      <c r="N248" s="670"/>
      <c r="O248" s="670"/>
      <c r="P248" s="670"/>
      <c r="Q248" s="670"/>
      <c r="R248" s="670"/>
      <c r="S248" s="670"/>
      <c r="T248" s="670"/>
      <c r="U248" s="670"/>
      <c r="V248" s="670"/>
      <c r="W248" s="670"/>
    </row>
    <row r="249" spans="1:23" ht="12.75" customHeight="1" x14ac:dyDescent="0.25">
      <c r="A249" s="670"/>
      <c r="B249" s="670"/>
      <c r="C249" s="670"/>
      <c r="D249" s="670"/>
      <c r="E249" s="670"/>
      <c r="F249" s="670"/>
      <c r="G249" s="670"/>
      <c r="H249" s="670"/>
      <c r="I249" s="670"/>
      <c r="J249" s="670"/>
      <c r="K249" s="670"/>
      <c r="L249" s="670"/>
      <c r="M249" s="670"/>
      <c r="N249" s="670"/>
      <c r="O249" s="670"/>
      <c r="P249" s="670"/>
      <c r="Q249" s="670"/>
      <c r="R249" s="670"/>
      <c r="S249" s="670"/>
      <c r="T249" s="670"/>
      <c r="U249" s="670"/>
      <c r="V249" s="670"/>
      <c r="W249" s="670"/>
    </row>
    <row r="250" spans="1:23" ht="12.75" customHeight="1" x14ac:dyDescent="0.25">
      <c r="A250" s="670"/>
      <c r="B250" s="670"/>
      <c r="C250" s="670"/>
      <c r="D250" s="670"/>
      <c r="E250" s="670"/>
      <c r="F250" s="670"/>
      <c r="G250" s="670"/>
      <c r="H250" s="670"/>
      <c r="I250" s="670"/>
      <c r="J250" s="670"/>
      <c r="K250" s="670"/>
      <c r="L250" s="670"/>
      <c r="M250" s="670"/>
      <c r="N250" s="670"/>
      <c r="O250" s="670"/>
      <c r="P250" s="670"/>
      <c r="Q250" s="670"/>
      <c r="R250" s="670"/>
      <c r="S250" s="670"/>
      <c r="T250" s="670"/>
      <c r="U250" s="670"/>
      <c r="V250" s="670"/>
      <c r="W250" s="670"/>
    </row>
    <row r="251" spans="1:23" ht="12.75" customHeight="1" x14ac:dyDescent="0.25">
      <c r="A251" s="670"/>
      <c r="B251" s="670"/>
      <c r="C251" s="670"/>
      <c r="D251" s="670"/>
      <c r="E251" s="670"/>
      <c r="F251" s="670"/>
      <c r="G251" s="670"/>
      <c r="H251" s="670"/>
      <c r="I251" s="670"/>
      <c r="J251" s="670"/>
      <c r="K251" s="670"/>
      <c r="L251" s="670"/>
      <c r="M251" s="670"/>
      <c r="N251" s="670"/>
      <c r="O251" s="670"/>
      <c r="P251" s="670"/>
      <c r="Q251" s="670"/>
      <c r="R251" s="670"/>
      <c r="S251" s="670"/>
      <c r="T251" s="670"/>
      <c r="U251" s="670"/>
      <c r="V251" s="670"/>
      <c r="W251" s="670"/>
    </row>
    <row r="252" spans="1:23" ht="12.75" customHeight="1" x14ac:dyDescent="0.25">
      <c r="A252" s="670"/>
      <c r="B252" s="670"/>
      <c r="C252" s="670"/>
      <c r="D252" s="670"/>
      <c r="E252" s="670"/>
      <c r="F252" s="670"/>
      <c r="G252" s="670"/>
      <c r="H252" s="670"/>
      <c r="I252" s="670"/>
      <c r="J252" s="670"/>
      <c r="K252" s="670"/>
      <c r="L252" s="670"/>
      <c r="M252" s="670"/>
      <c r="N252" s="670"/>
      <c r="O252" s="670"/>
      <c r="P252" s="670"/>
      <c r="Q252" s="670"/>
      <c r="R252" s="670"/>
      <c r="S252" s="670"/>
      <c r="T252" s="670"/>
      <c r="U252" s="670"/>
      <c r="V252" s="670"/>
      <c r="W252" s="670"/>
    </row>
    <row r="253" spans="1:23" ht="12.75" customHeight="1" x14ac:dyDescent="0.25">
      <c r="A253" s="670"/>
      <c r="B253" s="670"/>
      <c r="C253" s="670"/>
      <c r="D253" s="670"/>
      <c r="E253" s="670"/>
      <c r="F253" s="670"/>
      <c r="G253" s="670"/>
      <c r="H253" s="670"/>
      <c r="I253" s="670"/>
      <c r="J253" s="670"/>
      <c r="K253" s="670"/>
      <c r="L253" s="670"/>
      <c r="M253" s="670"/>
      <c r="N253" s="670"/>
      <c r="O253" s="670"/>
      <c r="P253" s="670"/>
      <c r="Q253" s="670"/>
      <c r="R253" s="670"/>
      <c r="S253" s="670"/>
      <c r="T253" s="670"/>
      <c r="U253" s="670"/>
      <c r="V253" s="670"/>
      <c r="W253" s="670"/>
    </row>
    <row r="254" spans="1:23" ht="12.75" customHeight="1" x14ac:dyDescent="0.25">
      <c r="A254" s="670"/>
      <c r="B254" s="670"/>
      <c r="C254" s="670"/>
      <c r="D254" s="670"/>
      <c r="E254" s="670"/>
      <c r="F254" s="670"/>
      <c r="G254" s="670"/>
      <c r="H254" s="670"/>
      <c r="I254" s="670"/>
      <c r="J254" s="670"/>
      <c r="K254" s="670"/>
      <c r="L254" s="670"/>
      <c r="M254" s="670"/>
      <c r="N254" s="670"/>
      <c r="O254" s="670"/>
      <c r="P254" s="670"/>
      <c r="Q254" s="670"/>
      <c r="R254" s="670"/>
      <c r="S254" s="670"/>
      <c r="T254" s="670"/>
      <c r="U254" s="670"/>
      <c r="V254" s="670"/>
      <c r="W254" s="670"/>
    </row>
    <row r="255" spans="1:23" ht="12.75" customHeight="1" x14ac:dyDescent="0.25">
      <c r="A255" s="670"/>
      <c r="B255" s="670"/>
      <c r="C255" s="670"/>
      <c r="D255" s="670"/>
      <c r="E255" s="670"/>
      <c r="F255" s="670"/>
      <c r="G255" s="670"/>
      <c r="H255" s="670"/>
      <c r="I255" s="670"/>
      <c r="J255" s="670"/>
      <c r="K255" s="670"/>
      <c r="L255" s="670"/>
      <c r="M255" s="670"/>
      <c r="N255" s="670"/>
      <c r="O255" s="670"/>
      <c r="P255" s="670"/>
      <c r="Q255" s="670"/>
      <c r="R255" s="670"/>
      <c r="S255" s="670"/>
      <c r="T255" s="670"/>
      <c r="U255" s="670"/>
      <c r="V255" s="670"/>
      <c r="W255" s="670"/>
    </row>
    <row r="256" spans="1:23" ht="12.75" customHeight="1" x14ac:dyDescent="0.25">
      <c r="A256" s="670"/>
      <c r="B256" s="670"/>
      <c r="C256" s="670"/>
      <c r="D256" s="670"/>
      <c r="E256" s="670"/>
      <c r="F256" s="670"/>
      <c r="G256" s="670"/>
      <c r="H256" s="670"/>
      <c r="I256" s="670"/>
      <c r="J256" s="670"/>
      <c r="K256" s="670"/>
      <c r="L256" s="670"/>
      <c r="M256" s="670"/>
      <c r="N256" s="670"/>
      <c r="O256" s="670"/>
      <c r="P256" s="670"/>
      <c r="Q256" s="670"/>
      <c r="R256" s="670"/>
      <c r="S256" s="670"/>
      <c r="T256" s="670"/>
      <c r="U256" s="670"/>
      <c r="V256" s="670"/>
      <c r="W256" s="670"/>
    </row>
    <row r="257" spans="1:23" ht="12.75" customHeight="1" x14ac:dyDescent="0.25">
      <c r="A257" s="670"/>
      <c r="B257" s="670"/>
      <c r="C257" s="670"/>
      <c r="D257" s="670"/>
      <c r="E257" s="670"/>
      <c r="F257" s="670"/>
      <c r="G257" s="670"/>
      <c r="H257" s="670"/>
      <c r="I257" s="670"/>
      <c r="J257" s="670"/>
      <c r="K257" s="670"/>
      <c r="L257" s="670"/>
      <c r="M257" s="670"/>
      <c r="N257" s="670"/>
      <c r="O257" s="670"/>
      <c r="P257" s="670"/>
      <c r="Q257" s="670"/>
      <c r="R257" s="670"/>
      <c r="S257" s="670"/>
      <c r="T257" s="670"/>
      <c r="U257" s="670"/>
      <c r="V257" s="670"/>
      <c r="W257" s="670"/>
    </row>
    <row r="258" spans="1:23" ht="12.75" customHeight="1" x14ac:dyDescent="0.25">
      <c r="A258" s="670"/>
      <c r="B258" s="670"/>
      <c r="C258" s="670"/>
      <c r="D258" s="670"/>
      <c r="E258" s="670"/>
      <c r="F258" s="670"/>
      <c r="G258" s="670"/>
      <c r="H258" s="670"/>
      <c r="I258" s="670"/>
      <c r="J258" s="670"/>
      <c r="K258" s="670"/>
      <c r="L258" s="670"/>
      <c r="M258" s="670"/>
      <c r="N258" s="670"/>
      <c r="O258" s="670"/>
      <c r="P258" s="670"/>
      <c r="Q258" s="670"/>
      <c r="R258" s="670"/>
      <c r="S258" s="670"/>
      <c r="T258" s="670"/>
      <c r="U258" s="670"/>
      <c r="V258" s="670"/>
      <c r="W258" s="670"/>
    </row>
    <row r="259" spans="1:23" ht="12.75" customHeight="1" x14ac:dyDescent="0.25">
      <c r="A259" s="670"/>
      <c r="B259" s="670"/>
      <c r="C259" s="670"/>
      <c r="D259" s="670"/>
      <c r="E259" s="670"/>
      <c r="F259" s="670"/>
      <c r="G259" s="670"/>
      <c r="H259" s="670"/>
      <c r="I259" s="670"/>
      <c r="J259" s="670"/>
      <c r="K259" s="670"/>
      <c r="L259" s="670"/>
      <c r="M259" s="670"/>
      <c r="N259" s="670"/>
      <c r="O259" s="670"/>
      <c r="P259" s="670"/>
      <c r="Q259" s="670"/>
      <c r="R259" s="670"/>
      <c r="S259" s="670"/>
      <c r="T259" s="670"/>
      <c r="U259" s="670"/>
      <c r="V259" s="670"/>
      <c r="W259" s="670"/>
    </row>
    <row r="260" spans="1:23" ht="12.75" customHeight="1" x14ac:dyDescent="0.25">
      <c r="A260" s="670"/>
      <c r="B260" s="670"/>
      <c r="C260" s="670"/>
      <c r="D260" s="670"/>
      <c r="E260" s="670"/>
      <c r="F260" s="670"/>
      <c r="G260" s="670"/>
      <c r="H260" s="670"/>
      <c r="I260" s="670"/>
      <c r="J260" s="670"/>
      <c r="K260" s="670"/>
      <c r="L260" s="670"/>
      <c r="M260" s="670"/>
      <c r="N260" s="670"/>
      <c r="O260" s="670"/>
      <c r="P260" s="670"/>
      <c r="Q260" s="670"/>
      <c r="R260" s="670"/>
      <c r="S260" s="670"/>
      <c r="T260" s="670"/>
      <c r="U260" s="670"/>
      <c r="V260" s="670"/>
      <c r="W260" s="670"/>
    </row>
    <row r="261" spans="1:23" ht="12.75" customHeight="1" x14ac:dyDescent="0.25">
      <c r="A261" s="670"/>
      <c r="B261" s="670"/>
      <c r="C261" s="670"/>
      <c r="D261" s="670"/>
      <c r="E261" s="670"/>
      <c r="F261" s="670"/>
      <c r="G261" s="670"/>
      <c r="H261" s="670"/>
      <c r="I261" s="670"/>
      <c r="J261" s="670"/>
      <c r="K261" s="670"/>
      <c r="L261" s="670"/>
      <c r="M261" s="670"/>
      <c r="N261" s="670"/>
      <c r="O261" s="670"/>
      <c r="P261" s="670"/>
      <c r="Q261" s="670"/>
      <c r="R261" s="670"/>
      <c r="S261" s="670"/>
      <c r="T261" s="670"/>
      <c r="U261" s="670"/>
      <c r="V261" s="670"/>
      <c r="W261" s="670"/>
    </row>
    <row r="262" spans="1:23" ht="12.75" customHeight="1" x14ac:dyDescent="0.25">
      <c r="A262" s="670"/>
      <c r="B262" s="670"/>
      <c r="C262" s="670"/>
      <c r="D262" s="670"/>
      <c r="E262" s="670"/>
      <c r="F262" s="670"/>
      <c r="G262" s="670"/>
      <c r="H262" s="670"/>
      <c r="I262" s="670"/>
      <c r="J262" s="670"/>
      <c r="K262" s="670"/>
      <c r="L262" s="670"/>
      <c r="M262" s="670"/>
      <c r="N262" s="670"/>
      <c r="O262" s="670"/>
      <c r="P262" s="670"/>
      <c r="Q262" s="670"/>
      <c r="R262" s="670"/>
      <c r="S262" s="670"/>
      <c r="T262" s="670"/>
      <c r="U262" s="670"/>
      <c r="V262" s="670"/>
      <c r="W262" s="670"/>
    </row>
    <row r="263" spans="1:23" ht="12.75" customHeight="1" x14ac:dyDescent="0.25">
      <c r="A263" s="670"/>
      <c r="B263" s="670"/>
      <c r="C263" s="670"/>
      <c r="D263" s="670"/>
      <c r="E263" s="670"/>
      <c r="F263" s="670"/>
      <c r="G263" s="670"/>
      <c r="H263" s="670"/>
      <c r="I263" s="670"/>
      <c r="J263" s="670"/>
      <c r="K263" s="670"/>
      <c r="L263" s="670"/>
      <c r="M263" s="670"/>
      <c r="N263" s="670"/>
      <c r="O263" s="670"/>
      <c r="P263" s="670"/>
      <c r="Q263" s="670"/>
      <c r="R263" s="670"/>
      <c r="S263" s="670"/>
      <c r="T263" s="670"/>
      <c r="U263" s="670"/>
      <c r="V263" s="670"/>
      <c r="W263" s="670"/>
    </row>
    <row r="264" spans="1:23" ht="12.75" customHeight="1" x14ac:dyDescent="0.25">
      <c r="A264" s="670"/>
      <c r="B264" s="670"/>
      <c r="C264" s="670"/>
      <c r="D264" s="670"/>
      <c r="E264" s="670"/>
      <c r="F264" s="670"/>
      <c r="G264" s="670"/>
      <c r="H264" s="670"/>
      <c r="I264" s="670"/>
      <c r="J264" s="670"/>
      <c r="K264" s="670"/>
      <c r="L264" s="670"/>
      <c r="M264" s="670"/>
      <c r="N264" s="670"/>
      <c r="O264" s="670"/>
      <c r="P264" s="670"/>
      <c r="Q264" s="670"/>
      <c r="R264" s="670"/>
      <c r="S264" s="670"/>
      <c r="T264" s="670"/>
      <c r="U264" s="670"/>
      <c r="V264" s="670"/>
      <c r="W264" s="670"/>
    </row>
    <row r="265" spans="1:23" ht="12.75" customHeight="1" x14ac:dyDescent="0.25">
      <c r="A265" s="670"/>
      <c r="B265" s="670"/>
      <c r="C265" s="670"/>
      <c r="D265" s="670"/>
      <c r="E265" s="670"/>
      <c r="F265" s="670"/>
      <c r="G265" s="670"/>
      <c r="H265" s="670"/>
      <c r="I265" s="670"/>
      <c r="J265" s="670"/>
      <c r="K265" s="670"/>
      <c r="L265" s="670"/>
      <c r="M265" s="670"/>
      <c r="N265" s="670"/>
      <c r="O265" s="670"/>
      <c r="P265" s="670"/>
      <c r="Q265" s="670"/>
      <c r="R265" s="670"/>
      <c r="S265" s="670"/>
      <c r="T265" s="670"/>
      <c r="U265" s="670"/>
      <c r="V265" s="670"/>
      <c r="W265" s="670"/>
    </row>
    <row r="266" spans="1:23" ht="12.75" customHeight="1" x14ac:dyDescent="0.25">
      <c r="A266" s="670"/>
      <c r="B266" s="670"/>
      <c r="C266" s="670"/>
      <c r="D266" s="670"/>
      <c r="E266" s="670"/>
      <c r="F266" s="670"/>
      <c r="G266" s="670"/>
      <c r="H266" s="670"/>
      <c r="I266" s="670"/>
      <c r="J266" s="670"/>
      <c r="K266" s="670"/>
      <c r="L266" s="670"/>
      <c r="M266" s="670"/>
      <c r="N266" s="670"/>
      <c r="O266" s="670"/>
      <c r="P266" s="670"/>
      <c r="Q266" s="670"/>
      <c r="R266" s="670"/>
      <c r="S266" s="670"/>
      <c r="T266" s="670"/>
      <c r="U266" s="670"/>
      <c r="V266" s="670"/>
      <c r="W266" s="670"/>
    </row>
    <row r="267" spans="1:23" ht="12.75" customHeight="1" x14ac:dyDescent="0.25">
      <c r="A267" s="670"/>
      <c r="B267" s="670"/>
      <c r="C267" s="670"/>
      <c r="D267" s="670"/>
      <c r="E267" s="670"/>
      <c r="F267" s="670"/>
      <c r="G267" s="670"/>
      <c r="H267" s="670"/>
      <c r="I267" s="670"/>
      <c r="J267" s="670"/>
      <c r="K267" s="670"/>
      <c r="L267" s="670"/>
      <c r="M267" s="670"/>
      <c r="N267" s="670"/>
      <c r="O267" s="670"/>
      <c r="P267" s="670"/>
      <c r="Q267" s="670"/>
      <c r="R267" s="670"/>
      <c r="S267" s="670"/>
      <c r="T267" s="670"/>
      <c r="U267" s="670"/>
      <c r="V267" s="670"/>
      <c r="W267" s="670"/>
    </row>
    <row r="268" spans="1:23" ht="12.75" customHeight="1" x14ac:dyDescent="0.25">
      <c r="A268" s="670"/>
      <c r="B268" s="670"/>
      <c r="C268" s="670"/>
      <c r="D268" s="670"/>
      <c r="E268" s="670"/>
      <c r="F268" s="670"/>
      <c r="G268" s="670"/>
      <c r="H268" s="670"/>
      <c r="I268" s="670"/>
      <c r="J268" s="670"/>
      <c r="K268" s="670"/>
      <c r="L268" s="670"/>
      <c r="M268" s="670"/>
      <c r="N268" s="670"/>
      <c r="O268" s="670"/>
      <c r="P268" s="670"/>
      <c r="Q268" s="670"/>
      <c r="R268" s="670"/>
      <c r="S268" s="670"/>
      <c r="T268" s="670"/>
      <c r="U268" s="670"/>
      <c r="V268" s="670"/>
      <c r="W268" s="670"/>
    </row>
    <row r="269" spans="1:23" ht="12.75" customHeight="1" x14ac:dyDescent="0.25">
      <c r="A269" s="670"/>
      <c r="B269" s="670"/>
      <c r="C269" s="670"/>
      <c r="D269" s="670"/>
      <c r="E269" s="670"/>
      <c r="F269" s="670"/>
      <c r="G269" s="670"/>
      <c r="H269" s="670"/>
      <c r="I269" s="670"/>
      <c r="J269" s="670"/>
      <c r="K269" s="670"/>
      <c r="L269" s="670"/>
      <c r="M269" s="670"/>
      <c r="N269" s="670"/>
      <c r="O269" s="670"/>
      <c r="P269" s="670"/>
      <c r="Q269" s="670"/>
      <c r="R269" s="670"/>
      <c r="S269" s="670"/>
      <c r="T269" s="670"/>
      <c r="U269" s="670"/>
      <c r="V269" s="670"/>
      <c r="W269" s="670"/>
    </row>
    <row r="270" spans="1:23" ht="12.75" customHeight="1" x14ac:dyDescent="0.25">
      <c r="A270" s="670"/>
      <c r="B270" s="670"/>
      <c r="C270" s="670"/>
      <c r="D270" s="670"/>
      <c r="E270" s="670"/>
      <c r="F270" s="670"/>
      <c r="G270" s="670"/>
      <c r="H270" s="670"/>
      <c r="I270" s="670"/>
      <c r="J270" s="670"/>
      <c r="K270" s="670"/>
      <c r="L270" s="670"/>
      <c r="M270" s="670"/>
      <c r="N270" s="670"/>
      <c r="O270" s="670"/>
      <c r="P270" s="670"/>
      <c r="Q270" s="670"/>
      <c r="R270" s="670"/>
      <c r="S270" s="670"/>
      <c r="T270" s="670"/>
      <c r="U270" s="670"/>
      <c r="V270" s="670"/>
      <c r="W270" s="670"/>
    </row>
    <row r="271" spans="1:23" ht="12.75" customHeight="1" x14ac:dyDescent="0.25">
      <c r="A271" s="670"/>
      <c r="B271" s="670"/>
      <c r="C271" s="670"/>
      <c r="D271" s="670"/>
      <c r="E271" s="670"/>
      <c r="F271" s="670"/>
      <c r="G271" s="670"/>
      <c r="H271" s="670"/>
      <c r="I271" s="670"/>
      <c r="J271" s="670"/>
      <c r="K271" s="670"/>
      <c r="L271" s="670"/>
      <c r="M271" s="670"/>
      <c r="N271" s="670"/>
      <c r="O271" s="670"/>
      <c r="P271" s="670"/>
      <c r="Q271" s="670"/>
      <c r="R271" s="670"/>
      <c r="S271" s="670"/>
      <c r="T271" s="670"/>
      <c r="U271" s="670"/>
      <c r="V271" s="670"/>
      <c r="W271" s="670"/>
    </row>
    <row r="272" spans="1:23" ht="12.75" customHeight="1" x14ac:dyDescent="0.25">
      <c r="A272" s="670"/>
      <c r="B272" s="670"/>
      <c r="C272" s="670"/>
      <c r="D272" s="670"/>
      <c r="E272" s="670"/>
      <c r="F272" s="670"/>
      <c r="G272" s="670"/>
      <c r="H272" s="670"/>
      <c r="I272" s="670"/>
      <c r="J272" s="670"/>
      <c r="K272" s="670"/>
      <c r="L272" s="670"/>
      <c r="M272" s="670"/>
      <c r="N272" s="670"/>
      <c r="O272" s="670"/>
      <c r="P272" s="670"/>
      <c r="Q272" s="670"/>
      <c r="R272" s="670"/>
      <c r="S272" s="670"/>
      <c r="T272" s="670"/>
      <c r="U272" s="670"/>
      <c r="V272" s="670"/>
      <c r="W272" s="670"/>
    </row>
    <row r="273" spans="1:23" ht="12.75" customHeight="1" x14ac:dyDescent="0.25">
      <c r="A273" s="670"/>
      <c r="B273" s="670"/>
      <c r="C273" s="670"/>
      <c r="D273" s="670"/>
      <c r="E273" s="670"/>
      <c r="F273" s="670"/>
      <c r="G273" s="670"/>
      <c r="H273" s="670"/>
      <c r="I273" s="670"/>
      <c r="J273" s="670"/>
      <c r="K273" s="670"/>
      <c r="L273" s="670"/>
      <c r="M273" s="670"/>
      <c r="N273" s="670"/>
      <c r="O273" s="670"/>
      <c r="P273" s="670"/>
      <c r="Q273" s="670"/>
      <c r="R273" s="670"/>
      <c r="S273" s="670"/>
      <c r="T273" s="670"/>
      <c r="U273" s="670"/>
      <c r="V273" s="670"/>
      <c r="W273" s="670"/>
    </row>
    <row r="274" spans="1:23" ht="12.75" customHeight="1" x14ac:dyDescent="0.25">
      <c r="A274" s="670"/>
      <c r="B274" s="670"/>
      <c r="C274" s="670"/>
      <c r="D274" s="670"/>
      <c r="E274" s="670"/>
      <c r="F274" s="670"/>
      <c r="G274" s="670"/>
      <c r="H274" s="670"/>
      <c r="I274" s="670"/>
      <c r="J274" s="670"/>
      <c r="K274" s="670"/>
      <c r="L274" s="670"/>
      <c r="M274" s="670"/>
      <c r="N274" s="670"/>
      <c r="O274" s="670"/>
      <c r="P274" s="670"/>
      <c r="Q274" s="670"/>
      <c r="R274" s="670"/>
      <c r="S274" s="670"/>
      <c r="T274" s="670"/>
      <c r="U274" s="670"/>
      <c r="V274" s="670"/>
      <c r="W274" s="670"/>
    </row>
    <row r="275" spans="1:23" ht="12.75" customHeight="1" x14ac:dyDescent="0.25">
      <c r="A275" s="670"/>
      <c r="B275" s="670"/>
      <c r="C275" s="670"/>
      <c r="D275" s="670"/>
      <c r="E275" s="670"/>
      <c r="F275" s="670"/>
      <c r="G275" s="670"/>
      <c r="H275" s="670"/>
      <c r="I275" s="670"/>
      <c r="J275" s="670"/>
      <c r="K275" s="670"/>
      <c r="L275" s="670"/>
      <c r="M275" s="670"/>
      <c r="N275" s="670"/>
      <c r="O275" s="670"/>
      <c r="P275" s="670"/>
      <c r="Q275" s="670"/>
      <c r="R275" s="670"/>
      <c r="S275" s="670"/>
      <c r="T275" s="670"/>
      <c r="U275" s="670"/>
      <c r="V275" s="670"/>
      <c r="W275" s="670"/>
    </row>
    <row r="276" spans="1:23" ht="12.75" customHeight="1" x14ac:dyDescent="0.25">
      <c r="A276" s="670"/>
      <c r="B276" s="670"/>
      <c r="C276" s="670"/>
      <c r="D276" s="670"/>
      <c r="E276" s="670"/>
      <c r="F276" s="670"/>
      <c r="G276" s="670"/>
      <c r="H276" s="670"/>
      <c r="I276" s="670"/>
      <c r="J276" s="670"/>
      <c r="K276" s="670"/>
      <c r="L276" s="670"/>
      <c r="M276" s="670"/>
      <c r="N276" s="670"/>
      <c r="O276" s="670"/>
      <c r="P276" s="670"/>
      <c r="Q276" s="670"/>
      <c r="R276" s="670"/>
      <c r="S276" s="670"/>
      <c r="T276" s="670"/>
      <c r="U276" s="670"/>
      <c r="V276" s="670"/>
      <c r="W276" s="670"/>
    </row>
    <row r="277" spans="1:23" ht="12.75" customHeight="1" x14ac:dyDescent="0.25">
      <c r="A277" s="670"/>
      <c r="B277" s="670"/>
      <c r="C277" s="670"/>
      <c r="D277" s="670"/>
      <c r="E277" s="670"/>
      <c r="F277" s="670"/>
      <c r="G277" s="670"/>
      <c r="H277" s="670"/>
      <c r="I277" s="670"/>
      <c r="J277" s="670"/>
      <c r="K277" s="670"/>
      <c r="L277" s="670"/>
      <c r="M277" s="670"/>
      <c r="N277" s="670"/>
      <c r="O277" s="670"/>
      <c r="P277" s="670"/>
      <c r="Q277" s="670"/>
      <c r="R277" s="670"/>
      <c r="S277" s="670"/>
      <c r="T277" s="670"/>
      <c r="U277" s="670"/>
      <c r="V277" s="670"/>
      <c r="W277" s="670"/>
    </row>
    <row r="278" spans="1:23" ht="12.75" customHeight="1" x14ac:dyDescent="0.25">
      <c r="A278" s="670"/>
      <c r="B278" s="670"/>
      <c r="C278" s="670"/>
      <c r="D278" s="670"/>
      <c r="E278" s="670"/>
      <c r="F278" s="670"/>
      <c r="G278" s="670"/>
      <c r="H278" s="670"/>
      <c r="I278" s="670"/>
      <c r="J278" s="670"/>
      <c r="K278" s="670"/>
      <c r="L278" s="670"/>
      <c r="M278" s="670"/>
      <c r="N278" s="670"/>
      <c r="O278" s="670"/>
      <c r="P278" s="670"/>
      <c r="Q278" s="670"/>
      <c r="R278" s="670"/>
      <c r="S278" s="670"/>
      <c r="T278" s="670"/>
      <c r="U278" s="670"/>
      <c r="V278" s="670"/>
      <c r="W278" s="670"/>
    </row>
    <row r="279" spans="1:23" ht="12.75" customHeight="1" x14ac:dyDescent="0.25">
      <c r="A279" s="670"/>
      <c r="B279" s="670"/>
      <c r="C279" s="670"/>
      <c r="D279" s="670"/>
      <c r="E279" s="670"/>
      <c r="F279" s="670"/>
      <c r="G279" s="670"/>
      <c r="H279" s="670"/>
      <c r="I279" s="670"/>
      <c r="J279" s="670"/>
      <c r="K279" s="670"/>
      <c r="L279" s="670"/>
      <c r="M279" s="670"/>
      <c r="N279" s="670"/>
      <c r="O279" s="670"/>
      <c r="P279" s="670"/>
      <c r="Q279" s="670"/>
      <c r="R279" s="670"/>
      <c r="S279" s="670"/>
      <c r="T279" s="670"/>
      <c r="U279" s="670"/>
      <c r="V279" s="670"/>
      <c r="W279" s="670"/>
    </row>
    <row r="280" spans="1:23" ht="12.75" customHeight="1" x14ac:dyDescent="0.25">
      <c r="A280" s="670"/>
      <c r="B280" s="670"/>
      <c r="C280" s="670"/>
      <c r="D280" s="670"/>
      <c r="E280" s="670"/>
      <c r="F280" s="670"/>
      <c r="G280" s="670"/>
      <c r="H280" s="670"/>
      <c r="I280" s="670"/>
      <c r="J280" s="670"/>
      <c r="K280" s="670"/>
      <c r="L280" s="670"/>
      <c r="M280" s="670"/>
      <c r="N280" s="670"/>
      <c r="O280" s="670"/>
      <c r="P280" s="670"/>
      <c r="Q280" s="670"/>
      <c r="R280" s="670"/>
      <c r="S280" s="670"/>
      <c r="T280" s="670"/>
      <c r="U280" s="670"/>
      <c r="V280" s="670"/>
      <c r="W280" s="670"/>
    </row>
    <row r="281" spans="1:23" ht="12.75" customHeight="1" x14ac:dyDescent="0.25">
      <c r="A281" s="670"/>
      <c r="B281" s="670"/>
      <c r="C281" s="670"/>
      <c r="D281" s="670"/>
      <c r="E281" s="670"/>
      <c r="F281" s="670"/>
      <c r="G281" s="670"/>
      <c r="H281" s="670"/>
      <c r="I281" s="670"/>
      <c r="J281" s="670"/>
      <c r="K281" s="670"/>
      <c r="L281" s="670"/>
      <c r="M281" s="670"/>
      <c r="N281" s="670"/>
      <c r="O281" s="670"/>
      <c r="P281" s="670"/>
      <c r="Q281" s="670"/>
      <c r="R281" s="670"/>
      <c r="S281" s="670"/>
      <c r="T281" s="670"/>
      <c r="U281" s="670"/>
      <c r="V281" s="670"/>
      <c r="W281" s="670"/>
    </row>
    <row r="282" spans="1:23" ht="12.75" customHeight="1" x14ac:dyDescent="0.25">
      <c r="A282" s="670"/>
      <c r="B282" s="670"/>
      <c r="C282" s="670"/>
      <c r="D282" s="670"/>
      <c r="E282" s="670"/>
      <c r="F282" s="670"/>
      <c r="G282" s="670"/>
      <c r="H282" s="670"/>
      <c r="I282" s="670"/>
      <c r="J282" s="670"/>
      <c r="K282" s="670"/>
      <c r="L282" s="670"/>
      <c r="M282" s="670"/>
      <c r="N282" s="670"/>
      <c r="O282" s="670"/>
      <c r="P282" s="670"/>
      <c r="Q282" s="670"/>
      <c r="R282" s="670"/>
      <c r="S282" s="670"/>
      <c r="T282" s="670"/>
      <c r="U282" s="670"/>
      <c r="V282" s="670"/>
      <c r="W282" s="670"/>
    </row>
    <row r="283" spans="1:23" ht="12.75" customHeight="1" x14ac:dyDescent="0.25">
      <c r="A283" s="670"/>
      <c r="B283" s="670"/>
      <c r="C283" s="670"/>
      <c r="D283" s="670"/>
      <c r="E283" s="670"/>
      <c r="F283" s="670"/>
      <c r="G283" s="670"/>
      <c r="H283" s="670"/>
      <c r="I283" s="670"/>
      <c r="J283" s="670"/>
      <c r="K283" s="670"/>
      <c r="L283" s="670"/>
      <c r="M283" s="670"/>
      <c r="N283" s="670"/>
      <c r="O283" s="670"/>
      <c r="P283" s="670"/>
      <c r="Q283" s="670"/>
      <c r="R283" s="670"/>
      <c r="S283" s="670"/>
      <c r="T283" s="670"/>
      <c r="U283" s="670"/>
      <c r="V283" s="670"/>
      <c r="W283" s="670"/>
    </row>
    <row r="284" spans="1:23" ht="12.75" customHeight="1" x14ac:dyDescent="0.25">
      <c r="A284" s="670"/>
      <c r="B284" s="670"/>
      <c r="C284" s="670"/>
      <c r="D284" s="670"/>
      <c r="E284" s="670"/>
      <c r="F284" s="670"/>
      <c r="G284" s="670"/>
      <c r="H284" s="670"/>
      <c r="I284" s="670"/>
      <c r="J284" s="670"/>
      <c r="K284" s="670"/>
      <c r="L284" s="670"/>
      <c r="M284" s="670"/>
      <c r="N284" s="670"/>
      <c r="O284" s="670"/>
      <c r="P284" s="670"/>
      <c r="Q284" s="670"/>
      <c r="R284" s="670"/>
      <c r="S284" s="670"/>
      <c r="T284" s="670"/>
      <c r="U284" s="670"/>
      <c r="V284" s="670"/>
      <c r="W284" s="670"/>
    </row>
    <row r="285" spans="1:23" ht="12.75" customHeight="1" x14ac:dyDescent="0.25">
      <c r="A285" s="670"/>
      <c r="B285" s="670"/>
      <c r="C285" s="670"/>
      <c r="D285" s="670"/>
      <c r="E285" s="670"/>
      <c r="F285" s="670"/>
      <c r="G285" s="670"/>
      <c r="H285" s="670"/>
      <c r="I285" s="670"/>
      <c r="J285" s="670"/>
      <c r="K285" s="670"/>
      <c r="L285" s="670"/>
      <c r="M285" s="670"/>
      <c r="N285" s="670"/>
      <c r="O285" s="670"/>
      <c r="P285" s="670"/>
      <c r="Q285" s="670"/>
      <c r="R285" s="670"/>
      <c r="S285" s="670"/>
      <c r="T285" s="670"/>
      <c r="U285" s="670"/>
      <c r="V285" s="670"/>
      <c r="W285" s="670"/>
    </row>
    <row r="286" spans="1:23" ht="12.75" customHeight="1" x14ac:dyDescent="0.25">
      <c r="A286" s="670"/>
      <c r="B286" s="670"/>
      <c r="C286" s="670"/>
      <c r="D286" s="670"/>
      <c r="E286" s="670"/>
      <c r="F286" s="670"/>
      <c r="G286" s="670"/>
      <c r="H286" s="670"/>
      <c r="I286" s="670"/>
      <c r="J286" s="670"/>
      <c r="K286" s="670"/>
      <c r="L286" s="670"/>
      <c r="M286" s="670"/>
      <c r="N286" s="670"/>
      <c r="O286" s="670"/>
      <c r="P286" s="670"/>
      <c r="Q286" s="670"/>
      <c r="R286" s="670"/>
      <c r="S286" s="670"/>
      <c r="T286" s="670"/>
      <c r="U286" s="670"/>
      <c r="V286" s="670"/>
      <c r="W286" s="670"/>
    </row>
    <row r="287" spans="1:23" ht="12.75" customHeight="1" x14ac:dyDescent="0.25">
      <c r="A287" s="670"/>
      <c r="B287" s="670"/>
      <c r="C287" s="670"/>
      <c r="D287" s="670"/>
      <c r="E287" s="670"/>
      <c r="F287" s="670"/>
      <c r="G287" s="670"/>
      <c r="H287" s="670"/>
      <c r="I287" s="670"/>
      <c r="J287" s="670"/>
      <c r="K287" s="670"/>
      <c r="L287" s="670"/>
      <c r="M287" s="670"/>
      <c r="N287" s="670"/>
      <c r="O287" s="670"/>
      <c r="P287" s="670"/>
      <c r="Q287" s="670"/>
      <c r="R287" s="670"/>
      <c r="S287" s="670"/>
      <c r="T287" s="670"/>
      <c r="U287" s="670"/>
      <c r="V287" s="670"/>
      <c r="W287" s="670"/>
    </row>
    <row r="288" spans="1:23" ht="12.75" customHeight="1" x14ac:dyDescent="0.25">
      <c r="A288" s="670"/>
      <c r="B288" s="670"/>
      <c r="C288" s="670"/>
      <c r="D288" s="670"/>
      <c r="E288" s="670"/>
      <c r="F288" s="670"/>
      <c r="G288" s="670"/>
      <c r="H288" s="670"/>
      <c r="I288" s="670"/>
      <c r="J288" s="670"/>
      <c r="K288" s="670"/>
      <c r="L288" s="670"/>
      <c r="M288" s="670"/>
      <c r="N288" s="670"/>
      <c r="O288" s="670"/>
      <c r="P288" s="670"/>
      <c r="Q288" s="670"/>
      <c r="R288" s="670"/>
      <c r="S288" s="670"/>
      <c r="T288" s="670"/>
      <c r="U288" s="670"/>
      <c r="V288" s="670"/>
      <c r="W288" s="670"/>
    </row>
    <row r="289" spans="1:23" ht="12.75" customHeight="1" x14ac:dyDescent="0.25">
      <c r="A289" s="670"/>
      <c r="B289" s="670"/>
      <c r="C289" s="670"/>
      <c r="D289" s="670"/>
      <c r="E289" s="670"/>
      <c r="F289" s="670"/>
      <c r="G289" s="670"/>
      <c r="H289" s="670"/>
      <c r="I289" s="670"/>
      <c r="J289" s="670"/>
      <c r="K289" s="670"/>
      <c r="L289" s="670"/>
      <c r="M289" s="670"/>
      <c r="N289" s="670"/>
      <c r="O289" s="670"/>
      <c r="P289" s="670"/>
      <c r="Q289" s="670"/>
      <c r="R289" s="670"/>
      <c r="S289" s="670"/>
      <c r="T289" s="670"/>
      <c r="U289" s="670"/>
      <c r="V289" s="670"/>
      <c r="W289" s="670"/>
    </row>
    <row r="290" spans="1:23" ht="12.75" customHeight="1" x14ac:dyDescent="0.25">
      <c r="A290" s="670"/>
      <c r="B290" s="670"/>
      <c r="C290" s="670"/>
      <c r="D290" s="670"/>
      <c r="E290" s="670"/>
      <c r="F290" s="670"/>
      <c r="G290" s="670"/>
      <c r="H290" s="670"/>
      <c r="I290" s="670"/>
      <c r="J290" s="670"/>
      <c r="K290" s="670"/>
      <c r="L290" s="670"/>
      <c r="M290" s="670"/>
      <c r="N290" s="670"/>
      <c r="O290" s="670"/>
      <c r="P290" s="670"/>
      <c r="Q290" s="670"/>
      <c r="R290" s="670"/>
      <c r="S290" s="670"/>
      <c r="T290" s="670"/>
      <c r="U290" s="670"/>
      <c r="V290" s="670"/>
      <c r="W290" s="670"/>
    </row>
    <row r="291" spans="1:23" ht="12.75" customHeight="1" x14ac:dyDescent="0.25">
      <c r="A291" s="670"/>
      <c r="B291" s="670"/>
      <c r="C291" s="670"/>
      <c r="D291" s="670"/>
      <c r="E291" s="670"/>
      <c r="F291" s="670"/>
      <c r="G291" s="670"/>
      <c r="H291" s="670"/>
      <c r="I291" s="670"/>
      <c r="J291" s="670"/>
      <c r="K291" s="670"/>
      <c r="L291" s="670"/>
      <c r="M291" s="670"/>
      <c r="N291" s="670"/>
      <c r="O291" s="670"/>
      <c r="P291" s="670"/>
      <c r="Q291" s="670"/>
      <c r="R291" s="670"/>
      <c r="S291" s="670"/>
      <c r="T291" s="670"/>
      <c r="U291" s="670"/>
      <c r="V291" s="670"/>
      <c r="W291" s="670"/>
    </row>
    <row r="292" spans="1:23" ht="12.75" customHeight="1" x14ac:dyDescent="0.25">
      <c r="A292" s="670"/>
      <c r="B292" s="670"/>
      <c r="C292" s="670"/>
      <c r="D292" s="670"/>
      <c r="E292" s="670"/>
      <c r="F292" s="670"/>
      <c r="G292" s="670"/>
      <c r="H292" s="670"/>
      <c r="I292" s="670"/>
      <c r="J292" s="670"/>
      <c r="K292" s="670"/>
      <c r="L292" s="670"/>
      <c r="M292" s="670"/>
      <c r="N292" s="670"/>
      <c r="O292" s="670"/>
      <c r="P292" s="670"/>
      <c r="Q292" s="670"/>
      <c r="R292" s="670"/>
      <c r="S292" s="670"/>
      <c r="T292" s="670"/>
      <c r="U292" s="670"/>
      <c r="V292" s="670"/>
      <c r="W292" s="670"/>
    </row>
    <row r="293" spans="1:23" ht="12.75" customHeight="1" x14ac:dyDescent="0.25">
      <c r="A293" s="670"/>
      <c r="B293" s="670"/>
      <c r="C293" s="670"/>
      <c r="D293" s="670"/>
      <c r="E293" s="670"/>
      <c r="F293" s="670"/>
      <c r="G293" s="670"/>
      <c r="H293" s="670"/>
      <c r="I293" s="670"/>
      <c r="J293" s="670"/>
      <c r="K293" s="670"/>
      <c r="L293" s="670"/>
      <c r="M293" s="670"/>
      <c r="N293" s="670"/>
      <c r="O293" s="670"/>
      <c r="P293" s="670"/>
      <c r="Q293" s="670"/>
      <c r="R293" s="670"/>
      <c r="S293" s="670"/>
      <c r="T293" s="670"/>
      <c r="U293" s="670"/>
      <c r="V293" s="670"/>
      <c r="W293" s="670"/>
    </row>
    <row r="294" spans="1:23" ht="12.75" customHeight="1" x14ac:dyDescent="0.25">
      <c r="A294" s="670"/>
      <c r="B294" s="670"/>
      <c r="C294" s="670"/>
      <c r="D294" s="670"/>
      <c r="E294" s="670"/>
      <c r="F294" s="670"/>
      <c r="G294" s="670"/>
      <c r="H294" s="670"/>
      <c r="I294" s="670"/>
      <c r="J294" s="670"/>
      <c r="K294" s="670"/>
      <c r="L294" s="670"/>
      <c r="M294" s="670"/>
      <c r="N294" s="670"/>
      <c r="O294" s="670"/>
      <c r="P294" s="670"/>
      <c r="Q294" s="670"/>
      <c r="R294" s="670"/>
      <c r="S294" s="670"/>
      <c r="T294" s="670"/>
      <c r="U294" s="670"/>
      <c r="V294" s="670"/>
      <c r="W294" s="670"/>
    </row>
    <row r="295" spans="1:23" ht="12.75" customHeight="1" x14ac:dyDescent="0.25">
      <c r="A295" s="670"/>
      <c r="B295" s="670"/>
      <c r="C295" s="670"/>
      <c r="D295" s="670"/>
      <c r="E295" s="670"/>
      <c r="F295" s="670"/>
      <c r="G295" s="670"/>
      <c r="H295" s="670"/>
      <c r="I295" s="670"/>
      <c r="J295" s="670"/>
      <c r="K295" s="670"/>
      <c r="L295" s="670"/>
      <c r="M295" s="670"/>
      <c r="N295" s="670"/>
      <c r="O295" s="670"/>
      <c r="P295" s="670"/>
      <c r="Q295" s="670"/>
      <c r="R295" s="670"/>
      <c r="S295" s="670"/>
      <c r="T295" s="670"/>
      <c r="U295" s="670"/>
      <c r="V295" s="670"/>
      <c r="W295" s="670"/>
    </row>
    <row r="296" spans="1:23" ht="12.75" customHeight="1" x14ac:dyDescent="0.25">
      <c r="A296" s="670"/>
      <c r="B296" s="670"/>
      <c r="C296" s="670"/>
      <c r="D296" s="670"/>
      <c r="E296" s="670"/>
      <c r="F296" s="670"/>
      <c r="G296" s="670"/>
      <c r="H296" s="670"/>
      <c r="I296" s="670"/>
      <c r="J296" s="670"/>
      <c r="K296" s="670"/>
      <c r="L296" s="670"/>
      <c r="M296" s="670"/>
      <c r="N296" s="670"/>
      <c r="O296" s="670"/>
      <c r="P296" s="670"/>
      <c r="Q296" s="670"/>
      <c r="R296" s="670"/>
      <c r="S296" s="670"/>
      <c r="T296" s="670"/>
      <c r="U296" s="670"/>
      <c r="V296" s="670"/>
      <c r="W296" s="670"/>
    </row>
    <row r="297" spans="1:23" ht="12.75" customHeight="1" x14ac:dyDescent="0.25">
      <c r="A297" s="670"/>
      <c r="B297" s="670"/>
      <c r="C297" s="670"/>
      <c r="D297" s="670"/>
      <c r="E297" s="670"/>
      <c r="F297" s="670"/>
      <c r="G297" s="670"/>
      <c r="H297" s="670"/>
      <c r="I297" s="670"/>
      <c r="J297" s="670"/>
      <c r="K297" s="670"/>
      <c r="L297" s="670"/>
      <c r="M297" s="670"/>
      <c r="N297" s="670"/>
      <c r="O297" s="670"/>
      <c r="P297" s="670"/>
      <c r="Q297" s="670"/>
      <c r="R297" s="670"/>
      <c r="S297" s="670"/>
      <c r="T297" s="670"/>
      <c r="U297" s="670"/>
      <c r="V297" s="670"/>
      <c r="W297" s="670"/>
    </row>
    <row r="298" spans="1:23" ht="12.75" customHeight="1" x14ac:dyDescent="0.25">
      <c r="A298" s="670"/>
      <c r="B298" s="670"/>
      <c r="C298" s="670"/>
      <c r="D298" s="670"/>
      <c r="E298" s="670"/>
      <c r="F298" s="670"/>
      <c r="G298" s="670"/>
      <c r="H298" s="670"/>
      <c r="I298" s="670"/>
      <c r="J298" s="670"/>
      <c r="K298" s="670"/>
      <c r="L298" s="670"/>
      <c r="M298" s="670"/>
      <c r="N298" s="670"/>
      <c r="O298" s="670"/>
      <c r="P298" s="670"/>
      <c r="Q298" s="670"/>
      <c r="R298" s="670"/>
      <c r="S298" s="670"/>
      <c r="T298" s="670"/>
      <c r="U298" s="670"/>
      <c r="V298" s="670"/>
      <c r="W298" s="670"/>
    </row>
    <row r="299" spans="1:23" ht="12.75" customHeight="1" x14ac:dyDescent="0.25">
      <c r="A299" s="670"/>
      <c r="B299" s="670"/>
      <c r="C299" s="670"/>
      <c r="D299" s="670"/>
      <c r="E299" s="670"/>
      <c r="F299" s="670"/>
      <c r="G299" s="670"/>
      <c r="H299" s="670"/>
      <c r="I299" s="670"/>
      <c r="J299" s="670"/>
      <c r="K299" s="670"/>
      <c r="L299" s="670"/>
      <c r="M299" s="670"/>
      <c r="N299" s="670"/>
      <c r="O299" s="670"/>
      <c r="P299" s="670"/>
      <c r="Q299" s="670"/>
      <c r="R299" s="670"/>
      <c r="S299" s="670"/>
      <c r="T299" s="670"/>
      <c r="U299" s="670"/>
      <c r="V299" s="670"/>
      <c r="W299" s="670"/>
    </row>
    <row r="300" spans="1:23" ht="12.75" customHeight="1" x14ac:dyDescent="0.25">
      <c r="A300" s="670"/>
      <c r="B300" s="670"/>
      <c r="C300" s="670"/>
      <c r="D300" s="670"/>
      <c r="E300" s="670"/>
      <c r="F300" s="670"/>
      <c r="G300" s="670"/>
      <c r="H300" s="670"/>
      <c r="I300" s="670"/>
      <c r="J300" s="670"/>
      <c r="K300" s="670"/>
      <c r="L300" s="670"/>
      <c r="M300" s="670"/>
      <c r="N300" s="670"/>
      <c r="O300" s="670"/>
      <c r="P300" s="670"/>
      <c r="Q300" s="670"/>
      <c r="R300" s="670"/>
      <c r="S300" s="670"/>
      <c r="T300" s="670"/>
      <c r="U300" s="670"/>
      <c r="V300" s="670"/>
      <c r="W300" s="670"/>
    </row>
    <row r="301" spans="1:23" ht="12.75" customHeight="1" x14ac:dyDescent="0.25">
      <c r="A301" s="670"/>
      <c r="B301" s="670"/>
      <c r="C301" s="670"/>
      <c r="D301" s="670"/>
      <c r="E301" s="670"/>
      <c r="F301" s="670"/>
      <c r="G301" s="670"/>
      <c r="H301" s="670"/>
      <c r="I301" s="670"/>
      <c r="J301" s="670"/>
      <c r="K301" s="670"/>
      <c r="L301" s="670"/>
      <c r="M301" s="670"/>
      <c r="N301" s="670"/>
      <c r="O301" s="670"/>
      <c r="P301" s="670"/>
      <c r="Q301" s="670"/>
      <c r="R301" s="670"/>
      <c r="S301" s="670"/>
      <c r="T301" s="670"/>
      <c r="U301" s="670"/>
      <c r="V301" s="670"/>
      <c r="W301" s="670"/>
    </row>
    <row r="302" spans="1:23" ht="12.75" customHeight="1" x14ac:dyDescent="0.25">
      <c r="A302" s="670"/>
      <c r="B302" s="670"/>
      <c r="C302" s="670"/>
      <c r="D302" s="670"/>
      <c r="E302" s="670"/>
      <c r="F302" s="670"/>
      <c r="G302" s="670"/>
      <c r="H302" s="670"/>
      <c r="I302" s="670"/>
      <c r="J302" s="670"/>
      <c r="K302" s="670"/>
      <c r="L302" s="670"/>
      <c r="M302" s="670"/>
      <c r="N302" s="670"/>
      <c r="O302" s="670"/>
      <c r="P302" s="670"/>
      <c r="Q302" s="670"/>
      <c r="R302" s="670"/>
      <c r="S302" s="670"/>
      <c r="T302" s="670"/>
      <c r="U302" s="670"/>
      <c r="V302" s="670"/>
      <c r="W302" s="670"/>
    </row>
    <row r="303" spans="1:23" ht="12.75" customHeight="1" x14ac:dyDescent="0.25">
      <c r="A303" s="670"/>
      <c r="B303" s="670"/>
      <c r="C303" s="670"/>
      <c r="D303" s="670"/>
      <c r="E303" s="670"/>
      <c r="F303" s="670"/>
      <c r="G303" s="670"/>
      <c r="H303" s="670"/>
      <c r="I303" s="670"/>
      <c r="J303" s="670"/>
      <c r="K303" s="670"/>
      <c r="L303" s="670"/>
      <c r="M303" s="670"/>
      <c r="N303" s="670"/>
      <c r="O303" s="670"/>
      <c r="P303" s="670"/>
      <c r="Q303" s="670"/>
      <c r="R303" s="670"/>
      <c r="S303" s="670"/>
      <c r="T303" s="670"/>
      <c r="U303" s="670"/>
      <c r="V303" s="670"/>
      <c r="W303" s="670"/>
    </row>
    <row r="304" spans="1:23" ht="12.75" customHeight="1" x14ac:dyDescent="0.25">
      <c r="A304" s="670"/>
      <c r="B304" s="670"/>
      <c r="C304" s="670"/>
      <c r="D304" s="670"/>
      <c r="E304" s="670"/>
      <c r="F304" s="670"/>
      <c r="G304" s="670"/>
      <c r="H304" s="670"/>
      <c r="I304" s="670"/>
      <c r="J304" s="670"/>
      <c r="K304" s="670"/>
      <c r="L304" s="670"/>
      <c r="M304" s="670"/>
      <c r="N304" s="670"/>
      <c r="O304" s="670"/>
      <c r="P304" s="670"/>
      <c r="Q304" s="670"/>
      <c r="R304" s="670"/>
      <c r="S304" s="670"/>
      <c r="T304" s="670"/>
      <c r="U304" s="670"/>
      <c r="V304" s="670"/>
      <c r="W304" s="670"/>
    </row>
    <row r="305" spans="1:23" ht="12.75" customHeight="1" x14ac:dyDescent="0.25">
      <c r="A305" s="670"/>
      <c r="B305" s="670"/>
      <c r="C305" s="670"/>
      <c r="D305" s="670"/>
      <c r="E305" s="670"/>
      <c r="F305" s="670"/>
      <c r="G305" s="670"/>
      <c r="H305" s="670"/>
      <c r="I305" s="670"/>
      <c r="J305" s="670"/>
      <c r="K305" s="670"/>
      <c r="L305" s="670"/>
      <c r="M305" s="670"/>
      <c r="N305" s="670"/>
      <c r="O305" s="670"/>
      <c r="P305" s="670"/>
      <c r="Q305" s="670"/>
      <c r="R305" s="670"/>
      <c r="S305" s="670"/>
      <c r="T305" s="670"/>
      <c r="U305" s="670"/>
      <c r="V305" s="670"/>
      <c r="W305" s="670"/>
    </row>
    <row r="306" spans="1:23" ht="12.75" customHeight="1" x14ac:dyDescent="0.25">
      <c r="A306" s="670"/>
      <c r="B306" s="670"/>
      <c r="C306" s="670"/>
      <c r="D306" s="670"/>
      <c r="E306" s="670"/>
      <c r="F306" s="670"/>
      <c r="G306" s="670"/>
      <c r="H306" s="670"/>
      <c r="I306" s="670"/>
      <c r="J306" s="670"/>
      <c r="K306" s="670"/>
      <c r="L306" s="670"/>
      <c r="M306" s="670"/>
      <c r="N306" s="670"/>
      <c r="O306" s="670"/>
      <c r="P306" s="670"/>
      <c r="Q306" s="670"/>
      <c r="R306" s="670"/>
      <c r="S306" s="670"/>
      <c r="T306" s="670"/>
      <c r="U306" s="670"/>
      <c r="V306" s="670"/>
      <c r="W306" s="670"/>
    </row>
    <row r="307" spans="1:23" ht="12.75" customHeight="1" x14ac:dyDescent="0.25">
      <c r="A307" s="670"/>
      <c r="B307" s="670"/>
      <c r="C307" s="670"/>
      <c r="D307" s="670"/>
      <c r="E307" s="670"/>
      <c r="F307" s="670"/>
      <c r="G307" s="670"/>
      <c r="H307" s="670"/>
      <c r="I307" s="670"/>
      <c r="J307" s="670"/>
      <c r="K307" s="670"/>
      <c r="L307" s="670"/>
      <c r="M307" s="670"/>
      <c r="N307" s="670"/>
      <c r="O307" s="670"/>
      <c r="P307" s="670"/>
      <c r="Q307" s="670"/>
      <c r="R307" s="670"/>
      <c r="S307" s="670"/>
      <c r="T307" s="670"/>
      <c r="U307" s="670"/>
      <c r="V307" s="670"/>
      <c r="W307" s="670"/>
    </row>
    <row r="308" spans="1:23" ht="12.75" customHeight="1" x14ac:dyDescent="0.25">
      <c r="A308" s="670"/>
      <c r="B308" s="670"/>
      <c r="C308" s="670"/>
      <c r="D308" s="670"/>
      <c r="E308" s="670"/>
      <c r="F308" s="670"/>
      <c r="G308" s="670"/>
      <c r="H308" s="670"/>
      <c r="I308" s="670"/>
      <c r="J308" s="670"/>
      <c r="K308" s="670"/>
      <c r="L308" s="670"/>
      <c r="M308" s="670"/>
      <c r="N308" s="670"/>
      <c r="O308" s="670"/>
      <c r="P308" s="670"/>
      <c r="Q308" s="670"/>
      <c r="R308" s="670"/>
      <c r="S308" s="670"/>
      <c r="T308" s="670"/>
      <c r="U308" s="670"/>
      <c r="V308" s="670"/>
      <c r="W308" s="670"/>
    </row>
    <row r="309" spans="1:23" ht="12.75" customHeight="1" x14ac:dyDescent="0.25">
      <c r="A309" s="670"/>
      <c r="B309" s="670"/>
      <c r="C309" s="670"/>
      <c r="D309" s="670"/>
      <c r="E309" s="670"/>
      <c r="F309" s="670"/>
      <c r="G309" s="670"/>
      <c r="H309" s="670"/>
      <c r="I309" s="670"/>
      <c r="J309" s="670"/>
      <c r="K309" s="670"/>
      <c r="L309" s="670"/>
      <c r="M309" s="670"/>
      <c r="N309" s="670"/>
      <c r="O309" s="670"/>
      <c r="P309" s="670"/>
      <c r="Q309" s="670"/>
      <c r="R309" s="670"/>
      <c r="S309" s="670"/>
      <c r="T309" s="670"/>
      <c r="U309" s="670"/>
      <c r="V309" s="670"/>
      <c r="W309" s="670"/>
    </row>
    <row r="310" spans="1:23" ht="12.75" customHeight="1" x14ac:dyDescent="0.25">
      <c r="A310" s="670"/>
      <c r="B310" s="670"/>
      <c r="C310" s="670"/>
      <c r="D310" s="670"/>
      <c r="E310" s="670"/>
      <c r="F310" s="670"/>
      <c r="G310" s="670"/>
      <c r="H310" s="670"/>
      <c r="I310" s="670"/>
      <c r="J310" s="670"/>
      <c r="K310" s="670"/>
      <c r="L310" s="670"/>
      <c r="M310" s="670"/>
      <c r="N310" s="670"/>
      <c r="O310" s="670"/>
      <c r="P310" s="670"/>
      <c r="Q310" s="670"/>
      <c r="R310" s="670"/>
      <c r="S310" s="670"/>
      <c r="T310" s="670"/>
      <c r="U310" s="670"/>
      <c r="V310" s="670"/>
      <c r="W310" s="670"/>
    </row>
    <row r="311" spans="1:23" ht="12.75" customHeight="1" x14ac:dyDescent="0.25">
      <c r="A311" s="670"/>
      <c r="B311" s="670"/>
      <c r="C311" s="670"/>
      <c r="D311" s="670"/>
      <c r="E311" s="670"/>
      <c r="F311" s="670"/>
      <c r="G311" s="670"/>
      <c r="H311" s="670"/>
      <c r="I311" s="670"/>
      <c r="J311" s="670"/>
      <c r="K311" s="670"/>
      <c r="L311" s="670"/>
      <c r="M311" s="670"/>
      <c r="N311" s="670"/>
      <c r="O311" s="670"/>
      <c r="P311" s="670"/>
      <c r="Q311" s="670"/>
      <c r="R311" s="670"/>
      <c r="S311" s="670"/>
      <c r="T311" s="670"/>
      <c r="U311" s="670"/>
      <c r="V311" s="670"/>
      <c r="W311" s="670"/>
    </row>
    <row r="312" spans="1:23" ht="12.75" customHeight="1" x14ac:dyDescent="0.25">
      <c r="A312" s="670"/>
      <c r="B312" s="670"/>
      <c r="C312" s="670"/>
      <c r="D312" s="670"/>
      <c r="E312" s="670"/>
      <c r="F312" s="670"/>
      <c r="G312" s="670"/>
      <c r="H312" s="670"/>
      <c r="I312" s="670"/>
      <c r="J312" s="670"/>
      <c r="K312" s="670"/>
      <c r="L312" s="670"/>
      <c r="M312" s="670"/>
      <c r="N312" s="670"/>
      <c r="O312" s="670"/>
      <c r="P312" s="670"/>
      <c r="Q312" s="670"/>
      <c r="R312" s="670"/>
      <c r="S312" s="670"/>
      <c r="T312" s="670"/>
      <c r="U312" s="670"/>
      <c r="V312" s="670"/>
      <c r="W312" s="670"/>
    </row>
    <row r="313" spans="1:23" ht="12.75" customHeight="1" x14ac:dyDescent="0.25">
      <c r="A313" s="670"/>
      <c r="B313" s="670"/>
      <c r="C313" s="670"/>
      <c r="D313" s="670"/>
      <c r="E313" s="670"/>
      <c r="F313" s="670"/>
      <c r="G313" s="670"/>
      <c r="H313" s="670"/>
      <c r="I313" s="670"/>
      <c r="J313" s="670"/>
      <c r="K313" s="670"/>
      <c r="L313" s="670"/>
      <c r="M313" s="670"/>
      <c r="N313" s="670"/>
      <c r="O313" s="670"/>
      <c r="P313" s="670"/>
      <c r="Q313" s="670"/>
      <c r="R313" s="670"/>
      <c r="S313" s="670"/>
      <c r="T313" s="670"/>
      <c r="U313" s="670"/>
      <c r="V313" s="670"/>
      <c r="W313" s="670"/>
    </row>
    <row r="314" spans="1:23" ht="12.75" customHeight="1" x14ac:dyDescent="0.25">
      <c r="A314" s="670"/>
      <c r="B314" s="670"/>
      <c r="C314" s="670"/>
      <c r="D314" s="670"/>
      <c r="E314" s="670"/>
      <c r="F314" s="670"/>
      <c r="G314" s="670"/>
      <c r="H314" s="670"/>
      <c r="I314" s="670"/>
      <c r="J314" s="670"/>
      <c r="K314" s="670"/>
      <c r="L314" s="670"/>
      <c r="M314" s="670"/>
      <c r="N314" s="670"/>
      <c r="O314" s="670"/>
      <c r="P314" s="670"/>
      <c r="Q314" s="670"/>
      <c r="R314" s="670"/>
      <c r="S314" s="670"/>
      <c r="T314" s="670"/>
      <c r="U314" s="670"/>
      <c r="V314" s="670"/>
      <c r="W314" s="670"/>
    </row>
    <row r="315" spans="1:23" ht="12.75" customHeight="1" x14ac:dyDescent="0.25">
      <c r="A315" s="670"/>
      <c r="B315" s="670"/>
      <c r="C315" s="670"/>
      <c r="D315" s="670"/>
      <c r="E315" s="670"/>
      <c r="F315" s="670"/>
      <c r="G315" s="670"/>
      <c r="H315" s="670"/>
      <c r="I315" s="670"/>
      <c r="J315" s="670"/>
      <c r="K315" s="670"/>
      <c r="L315" s="670"/>
      <c r="M315" s="670"/>
      <c r="N315" s="670"/>
      <c r="O315" s="670"/>
      <c r="P315" s="670"/>
      <c r="Q315" s="670"/>
      <c r="R315" s="670"/>
      <c r="S315" s="670"/>
      <c r="T315" s="670"/>
      <c r="U315" s="670"/>
      <c r="V315" s="670"/>
      <c r="W315" s="670"/>
    </row>
    <row r="316" spans="1:23" ht="12.75" customHeight="1" x14ac:dyDescent="0.25">
      <c r="A316" s="670"/>
      <c r="B316" s="670"/>
      <c r="C316" s="670"/>
      <c r="D316" s="670"/>
      <c r="E316" s="670"/>
      <c r="F316" s="670"/>
      <c r="G316" s="670"/>
      <c r="H316" s="670"/>
      <c r="I316" s="670"/>
      <c r="J316" s="670"/>
      <c r="K316" s="670"/>
      <c r="L316" s="670"/>
      <c r="M316" s="670"/>
      <c r="N316" s="670"/>
      <c r="O316" s="670"/>
      <c r="P316" s="670"/>
      <c r="Q316" s="670"/>
      <c r="R316" s="670"/>
      <c r="S316" s="670"/>
      <c r="T316" s="670"/>
      <c r="U316" s="670"/>
      <c r="V316" s="670"/>
      <c r="W316" s="670"/>
    </row>
    <row r="317" spans="1:23" ht="12.75" customHeight="1" x14ac:dyDescent="0.25">
      <c r="A317" s="670"/>
      <c r="B317" s="670"/>
      <c r="C317" s="670"/>
      <c r="D317" s="670"/>
      <c r="E317" s="670"/>
      <c r="F317" s="670"/>
      <c r="G317" s="670"/>
      <c r="H317" s="670"/>
      <c r="I317" s="670"/>
      <c r="J317" s="670"/>
      <c r="K317" s="670"/>
      <c r="L317" s="670"/>
      <c r="M317" s="670"/>
      <c r="N317" s="670"/>
      <c r="O317" s="670"/>
      <c r="P317" s="670"/>
      <c r="Q317" s="670"/>
      <c r="R317" s="670"/>
      <c r="S317" s="670"/>
      <c r="T317" s="670"/>
      <c r="U317" s="670"/>
      <c r="V317" s="670"/>
      <c r="W317" s="670"/>
    </row>
    <row r="318" spans="1:23" ht="12.75" customHeight="1" x14ac:dyDescent="0.25">
      <c r="A318" s="670"/>
      <c r="B318" s="670"/>
      <c r="C318" s="670"/>
      <c r="D318" s="670"/>
      <c r="E318" s="670"/>
      <c r="F318" s="670"/>
      <c r="G318" s="670"/>
      <c r="H318" s="670"/>
      <c r="I318" s="670"/>
      <c r="J318" s="670"/>
      <c r="K318" s="670"/>
      <c r="L318" s="670"/>
      <c r="M318" s="670"/>
      <c r="N318" s="670"/>
      <c r="O318" s="670"/>
      <c r="P318" s="670"/>
      <c r="Q318" s="670"/>
      <c r="R318" s="670"/>
      <c r="S318" s="670"/>
      <c r="T318" s="670"/>
      <c r="U318" s="670"/>
      <c r="V318" s="670"/>
      <c r="W318" s="670"/>
    </row>
    <row r="319" spans="1:23" ht="12.75" customHeight="1" x14ac:dyDescent="0.25">
      <c r="A319" s="670"/>
      <c r="B319" s="670"/>
      <c r="C319" s="670"/>
      <c r="D319" s="670"/>
      <c r="E319" s="670"/>
      <c r="F319" s="670"/>
      <c r="G319" s="670"/>
      <c r="H319" s="670"/>
      <c r="I319" s="670"/>
      <c r="J319" s="670"/>
      <c r="K319" s="670"/>
      <c r="L319" s="670"/>
      <c r="M319" s="670"/>
      <c r="N319" s="670"/>
      <c r="O319" s="670"/>
      <c r="P319" s="670"/>
      <c r="Q319" s="670"/>
      <c r="R319" s="670"/>
      <c r="S319" s="670"/>
      <c r="T319" s="670"/>
      <c r="U319" s="670"/>
      <c r="V319" s="670"/>
      <c r="W319" s="670"/>
    </row>
    <row r="320" spans="1:23" ht="12.75" customHeight="1" x14ac:dyDescent="0.25">
      <c r="A320" s="670"/>
      <c r="B320" s="670"/>
      <c r="C320" s="670"/>
      <c r="D320" s="670"/>
      <c r="E320" s="670"/>
      <c r="F320" s="670"/>
      <c r="G320" s="670"/>
      <c r="H320" s="670"/>
      <c r="I320" s="670"/>
      <c r="J320" s="670"/>
      <c r="K320" s="670"/>
      <c r="L320" s="670"/>
      <c r="M320" s="670"/>
      <c r="N320" s="670"/>
      <c r="O320" s="670"/>
      <c r="P320" s="670"/>
      <c r="Q320" s="670"/>
      <c r="R320" s="670"/>
      <c r="S320" s="670"/>
      <c r="T320" s="670"/>
      <c r="U320" s="670"/>
      <c r="V320" s="670"/>
      <c r="W320" s="670"/>
    </row>
    <row r="321" spans="1:23" ht="12.75" customHeight="1" x14ac:dyDescent="0.25">
      <c r="A321" s="670"/>
      <c r="B321" s="670"/>
      <c r="C321" s="670"/>
      <c r="D321" s="670"/>
      <c r="E321" s="670"/>
      <c r="F321" s="670"/>
      <c r="G321" s="670"/>
      <c r="H321" s="670"/>
      <c r="I321" s="670"/>
      <c r="J321" s="670"/>
      <c r="K321" s="670"/>
      <c r="L321" s="670"/>
      <c r="M321" s="670"/>
      <c r="N321" s="670"/>
      <c r="O321" s="670"/>
      <c r="P321" s="670"/>
      <c r="Q321" s="670"/>
      <c r="R321" s="670"/>
      <c r="S321" s="670"/>
      <c r="T321" s="670"/>
      <c r="U321" s="670"/>
      <c r="V321" s="670"/>
      <c r="W321" s="670"/>
    </row>
    <row r="322" spans="1:23" ht="12.75" customHeight="1" x14ac:dyDescent="0.25">
      <c r="A322" s="670"/>
      <c r="B322" s="670"/>
      <c r="C322" s="670"/>
      <c r="D322" s="670"/>
      <c r="E322" s="670"/>
      <c r="F322" s="670"/>
      <c r="G322" s="670"/>
      <c r="H322" s="670"/>
      <c r="I322" s="670"/>
      <c r="J322" s="670"/>
      <c r="K322" s="670"/>
      <c r="L322" s="670"/>
      <c r="M322" s="670"/>
      <c r="N322" s="670"/>
      <c r="O322" s="670"/>
      <c r="P322" s="670"/>
      <c r="Q322" s="670"/>
      <c r="R322" s="670"/>
      <c r="S322" s="670"/>
      <c r="T322" s="670"/>
      <c r="U322" s="670"/>
      <c r="V322" s="670"/>
      <c r="W322" s="670"/>
    </row>
    <row r="323" spans="1:23" ht="12.75" customHeight="1" x14ac:dyDescent="0.25">
      <c r="A323" s="670"/>
      <c r="B323" s="670"/>
      <c r="C323" s="670"/>
      <c r="D323" s="670"/>
      <c r="E323" s="670"/>
      <c r="F323" s="670"/>
      <c r="G323" s="670"/>
      <c r="H323" s="670"/>
      <c r="I323" s="670"/>
      <c r="J323" s="670"/>
      <c r="K323" s="670"/>
      <c r="L323" s="670"/>
      <c r="M323" s="670"/>
      <c r="N323" s="670"/>
      <c r="O323" s="670"/>
      <c r="P323" s="670"/>
      <c r="Q323" s="670"/>
      <c r="R323" s="670"/>
      <c r="S323" s="670"/>
      <c r="T323" s="670"/>
      <c r="U323" s="670"/>
      <c r="V323" s="670"/>
      <c r="W323" s="670"/>
    </row>
    <row r="324" spans="1:23" ht="12.75" customHeight="1" x14ac:dyDescent="0.25">
      <c r="A324" s="670"/>
      <c r="B324" s="670"/>
      <c r="C324" s="670"/>
      <c r="D324" s="670"/>
      <c r="E324" s="670"/>
      <c r="F324" s="670"/>
      <c r="G324" s="670"/>
      <c r="H324" s="670"/>
      <c r="I324" s="670"/>
      <c r="J324" s="670"/>
      <c r="K324" s="670"/>
      <c r="L324" s="670"/>
      <c r="M324" s="670"/>
      <c r="N324" s="670"/>
      <c r="O324" s="670"/>
      <c r="P324" s="670"/>
      <c r="Q324" s="670"/>
      <c r="R324" s="670"/>
      <c r="S324" s="670"/>
      <c r="T324" s="670"/>
      <c r="U324" s="670"/>
      <c r="V324" s="670"/>
      <c r="W324" s="670"/>
    </row>
    <row r="325" spans="1:23" ht="12.75" customHeight="1" x14ac:dyDescent="0.25">
      <c r="A325" s="670"/>
      <c r="B325" s="670"/>
      <c r="C325" s="670"/>
      <c r="D325" s="670"/>
      <c r="E325" s="670"/>
      <c r="F325" s="670"/>
      <c r="G325" s="670"/>
      <c r="H325" s="670"/>
      <c r="I325" s="670"/>
      <c r="J325" s="670"/>
      <c r="K325" s="670"/>
      <c r="L325" s="670"/>
      <c r="M325" s="670"/>
      <c r="N325" s="670"/>
      <c r="O325" s="670"/>
      <c r="P325" s="670"/>
      <c r="Q325" s="670"/>
      <c r="R325" s="670"/>
      <c r="S325" s="670"/>
      <c r="T325" s="670"/>
      <c r="U325" s="670"/>
      <c r="V325" s="670"/>
      <c r="W325" s="670"/>
    </row>
    <row r="326" spans="1:23" ht="12.75" customHeight="1" x14ac:dyDescent="0.25">
      <c r="A326" s="670"/>
      <c r="B326" s="670"/>
      <c r="C326" s="670"/>
      <c r="D326" s="670"/>
      <c r="E326" s="670"/>
      <c r="F326" s="670"/>
      <c r="G326" s="670"/>
      <c r="H326" s="670"/>
      <c r="I326" s="670"/>
      <c r="J326" s="670"/>
      <c r="K326" s="670"/>
      <c r="L326" s="670"/>
      <c r="M326" s="670"/>
      <c r="N326" s="670"/>
      <c r="O326" s="670"/>
      <c r="P326" s="670"/>
      <c r="Q326" s="670"/>
      <c r="R326" s="670"/>
      <c r="S326" s="670"/>
      <c r="T326" s="670"/>
      <c r="U326" s="670"/>
      <c r="V326" s="670"/>
      <c r="W326" s="670"/>
    </row>
    <row r="327" spans="1:23" ht="12.75" customHeight="1" x14ac:dyDescent="0.25">
      <c r="A327" s="670"/>
      <c r="B327" s="670"/>
      <c r="C327" s="670"/>
      <c r="D327" s="670"/>
      <c r="E327" s="670"/>
      <c r="F327" s="670"/>
      <c r="G327" s="670"/>
      <c r="H327" s="670"/>
      <c r="I327" s="670"/>
      <c r="J327" s="670"/>
      <c r="K327" s="670"/>
      <c r="L327" s="670"/>
      <c r="M327" s="670"/>
      <c r="N327" s="670"/>
      <c r="O327" s="670"/>
      <c r="P327" s="670"/>
      <c r="Q327" s="670"/>
      <c r="R327" s="670"/>
      <c r="S327" s="670"/>
      <c r="T327" s="670"/>
      <c r="U327" s="670"/>
      <c r="V327" s="670"/>
      <c r="W327" s="670"/>
    </row>
    <row r="328" spans="1:23" ht="12.75" customHeight="1" x14ac:dyDescent="0.25">
      <c r="A328" s="670"/>
      <c r="B328" s="670"/>
      <c r="C328" s="670"/>
      <c r="D328" s="670"/>
      <c r="E328" s="670"/>
      <c r="F328" s="670"/>
      <c r="G328" s="670"/>
      <c r="H328" s="670"/>
      <c r="I328" s="670"/>
      <c r="J328" s="670"/>
      <c r="K328" s="670"/>
      <c r="L328" s="670"/>
      <c r="M328" s="670"/>
      <c r="N328" s="670"/>
      <c r="O328" s="670"/>
      <c r="P328" s="670"/>
      <c r="Q328" s="670"/>
      <c r="R328" s="670"/>
      <c r="S328" s="670"/>
      <c r="T328" s="670"/>
      <c r="U328" s="670"/>
      <c r="V328" s="670"/>
      <c r="W328" s="670"/>
    </row>
    <row r="329" spans="1:23" ht="12.75" customHeight="1" x14ac:dyDescent="0.25">
      <c r="A329" s="670"/>
      <c r="B329" s="670"/>
      <c r="C329" s="670"/>
      <c r="D329" s="670"/>
      <c r="E329" s="670"/>
      <c r="F329" s="670"/>
      <c r="G329" s="670"/>
      <c r="H329" s="670"/>
      <c r="I329" s="670"/>
      <c r="J329" s="670"/>
      <c r="K329" s="670"/>
      <c r="L329" s="670"/>
      <c r="M329" s="670"/>
      <c r="N329" s="670"/>
      <c r="O329" s="670"/>
      <c r="P329" s="670"/>
      <c r="Q329" s="670"/>
      <c r="R329" s="670"/>
      <c r="S329" s="670"/>
      <c r="T329" s="670"/>
      <c r="U329" s="670"/>
      <c r="V329" s="670"/>
      <c r="W329" s="670"/>
    </row>
    <row r="330" spans="1:23" ht="12.75" customHeight="1" x14ac:dyDescent="0.25">
      <c r="A330" s="670"/>
      <c r="B330" s="670"/>
      <c r="C330" s="670"/>
      <c r="D330" s="670"/>
      <c r="E330" s="670"/>
      <c r="F330" s="670"/>
      <c r="G330" s="670"/>
      <c r="H330" s="670"/>
      <c r="I330" s="670"/>
      <c r="J330" s="670"/>
      <c r="K330" s="670"/>
      <c r="L330" s="670"/>
      <c r="M330" s="670"/>
      <c r="N330" s="670"/>
      <c r="O330" s="670"/>
      <c r="P330" s="670"/>
      <c r="Q330" s="670"/>
      <c r="R330" s="670"/>
      <c r="S330" s="670"/>
      <c r="T330" s="670"/>
      <c r="U330" s="670"/>
      <c r="V330" s="670"/>
      <c r="W330" s="670"/>
    </row>
    <row r="331" spans="1:23" ht="12.75" customHeight="1" x14ac:dyDescent="0.25">
      <c r="A331" s="670"/>
      <c r="B331" s="670"/>
      <c r="C331" s="670"/>
      <c r="D331" s="670"/>
      <c r="E331" s="670"/>
      <c r="F331" s="670"/>
      <c r="G331" s="670"/>
      <c r="H331" s="670"/>
      <c r="I331" s="670"/>
      <c r="J331" s="670"/>
      <c r="K331" s="670"/>
      <c r="L331" s="670"/>
      <c r="M331" s="670"/>
      <c r="N331" s="670"/>
      <c r="O331" s="670"/>
      <c r="P331" s="670"/>
      <c r="Q331" s="670"/>
      <c r="R331" s="670"/>
      <c r="S331" s="670"/>
      <c r="T331" s="670"/>
      <c r="U331" s="670"/>
      <c r="V331" s="670"/>
      <c r="W331" s="670"/>
    </row>
    <row r="332" spans="1:23" ht="12.75" customHeight="1" x14ac:dyDescent="0.25">
      <c r="A332" s="670"/>
      <c r="B332" s="670"/>
      <c r="C332" s="670"/>
      <c r="D332" s="670"/>
      <c r="E332" s="670"/>
      <c r="F332" s="670"/>
      <c r="G332" s="670"/>
      <c r="H332" s="670"/>
      <c r="I332" s="670"/>
      <c r="J332" s="670"/>
      <c r="K332" s="670"/>
      <c r="L332" s="670"/>
      <c r="M332" s="670"/>
      <c r="N332" s="670"/>
      <c r="O332" s="670"/>
      <c r="P332" s="670"/>
      <c r="Q332" s="670"/>
      <c r="R332" s="670"/>
      <c r="S332" s="670"/>
      <c r="T332" s="670"/>
      <c r="U332" s="670"/>
      <c r="V332" s="670"/>
      <c r="W332" s="670"/>
    </row>
    <row r="333" spans="1:23" ht="12.75" customHeight="1" x14ac:dyDescent="0.25">
      <c r="A333" s="670"/>
      <c r="B333" s="670"/>
      <c r="C333" s="670"/>
      <c r="D333" s="670"/>
      <c r="E333" s="670"/>
      <c r="F333" s="670"/>
      <c r="G333" s="670"/>
      <c r="H333" s="670"/>
      <c r="I333" s="670"/>
      <c r="J333" s="670"/>
      <c r="K333" s="670"/>
      <c r="L333" s="670"/>
      <c r="M333" s="670"/>
      <c r="N333" s="670"/>
      <c r="O333" s="670"/>
      <c r="P333" s="670"/>
      <c r="Q333" s="670"/>
      <c r="R333" s="670"/>
      <c r="S333" s="670"/>
      <c r="T333" s="670"/>
      <c r="U333" s="670"/>
      <c r="V333" s="670"/>
      <c r="W333" s="670"/>
    </row>
    <row r="334" spans="1:23" ht="12.75" customHeight="1" x14ac:dyDescent="0.25">
      <c r="A334" s="670"/>
      <c r="B334" s="670"/>
      <c r="C334" s="670"/>
      <c r="D334" s="670"/>
      <c r="E334" s="670"/>
      <c r="F334" s="670"/>
      <c r="G334" s="670"/>
      <c r="H334" s="670"/>
      <c r="I334" s="670"/>
      <c r="J334" s="670"/>
      <c r="K334" s="670"/>
      <c r="L334" s="670"/>
      <c r="M334" s="670"/>
      <c r="N334" s="670"/>
      <c r="O334" s="670"/>
      <c r="P334" s="670"/>
      <c r="Q334" s="670"/>
      <c r="R334" s="670"/>
      <c r="S334" s="670"/>
      <c r="T334" s="670"/>
      <c r="U334" s="670"/>
      <c r="V334" s="670"/>
      <c r="W334" s="670"/>
    </row>
    <row r="335" spans="1:23" ht="12.75" customHeight="1" x14ac:dyDescent="0.25">
      <c r="A335" s="670"/>
      <c r="B335" s="670"/>
      <c r="C335" s="670"/>
      <c r="D335" s="670"/>
      <c r="E335" s="670"/>
      <c r="F335" s="670"/>
      <c r="G335" s="670"/>
      <c r="H335" s="670"/>
      <c r="I335" s="670"/>
      <c r="J335" s="670"/>
      <c r="K335" s="670"/>
      <c r="L335" s="670"/>
      <c r="M335" s="670"/>
      <c r="N335" s="670"/>
      <c r="O335" s="670"/>
      <c r="P335" s="670"/>
      <c r="Q335" s="670"/>
      <c r="R335" s="670"/>
      <c r="S335" s="670"/>
      <c r="T335" s="670"/>
      <c r="U335" s="670"/>
      <c r="V335" s="670"/>
      <c r="W335" s="670"/>
    </row>
    <row r="336" spans="1:23" ht="12.75" customHeight="1" x14ac:dyDescent="0.25">
      <c r="A336" s="670"/>
      <c r="B336" s="670"/>
      <c r="C336" s="670"/>
      <c r="D336" s="670"/>
      <c r="E336" s="670"/>
      <c r="F336" s="670"/>
      <c r="G336" s="670"/>
      <c r="H336" s="670"/>
      <c r="I336" s="670"/>
      <c r="J336" s="670"/>
      <c r="K336" s="670"/>
      <c r="L336" s="670"/>
      <c r="M336" s="670"/>
      <c r="N336" s="670"/>
      <c r="O336" s="670"/>
      <c r="P336" s="670"/>
      <c r="Q336" s="670"/>
      <c r="R336" s="670"/>
      <c r="S336" s="670"/>
      <c r="T336" s="670"/>
      <c r="U336" s="670"/>
      <c r="V336" s="670"/>
      <c r="W336" s="670"/>
    </row>
    <row r="337" spans="1:23" ht="12.75" customHeight="1" x14ac:dyDescent="0.25">
      <c r="A337" s="670"/>
      <c r="B337" s="670"/>
      <c r="C337" s="670"/>
      <c r="D337" s="670"/>
      <c r="E337" s="670"/>
      <c r="F337" s="670"/>
      <c r="G337" s="670"/>
      <c r="H337" s="670"/>
      <c r="I337" s="670"/>
      <c r="J337" s="670"/>
      <c r="K337" s="670"/>
      <c r="L337" s="670"/>
      <c r="M337" s="670"/>
      <c r="N337" s="670"/>
      <c r="O337" s="670"/>
      <c r="P337" s="670"/>
      <c r="Q337" s="670"/>
      <c r="R337" s="670"/>
      <c r="S337" s="670"/>
      <c r="T337" s="670"/>
      <c r="U337" s="670"/>
      <c r="V337" s="670"/>
      <c r="W337" s="670"/>
    </row>
    <row r="338" spans="1:23" ht="12.75" customHeight="1" x14ac:dyDescent="0.25">
      <c r="A338" s="670"/>
      <c r="B338" s="670"/>
      <c r="C338" s="670"/>
      <c r="D338" s="670"/>
      <c r="E338" s="670"/>
      <c r="F338" s="670"/>
      <c r="G338" s="670"/>
      <c r="H338" s="670"/>
      <c r="I338" s="670"/>
      <c r="J338" s="670"/>
      <c r="K338" s="670"/>
      <c r="L338" s="670"/>
      <c r="M338" s="670"/>
      <c r="N338" s="670"/>
      <c r="O338" s="670"/>
      <c r="P338" s="670"/>
      <c r="Q338" s="670"/>
      <c r="R338" s="670"/>
      <c r="S338" s="670"/>
      <c r="T338" s="670"/>
      <c r="U338" s="670"/>
      <c r="V338" s="670"/>
      <c r="W338" s="670"/>
    </row>
    <row r="339" spans="1:23" ht="12.75" customHeight="1" x14ac:dyDescent="0.25">
      <c r="A339" s="670"/>
      <c r="B339" s="670"/>
      <c r="C339" s="670"/>
      <c r="D339" s="670"/>
      <c r="E339" s="670"/>
      <c r="F339" s="670"/>
      <c r="G339" s="670"/>
      <c r="H339" s="670"/>
      <c r="I339" s="670"/>
      <c r="J339" s="670"/>
      <c r="K339" s="670"/>
      <c r="L339" s="670"/>
      <c r="M339" s="670"/>
      <c r="N339" s="670"/>
      <c r="O339" s="670"/>
      <c r="P339" s="670"/>
      <c r="Q339" s="670"/>
      <c r="R339" s="670"/>
      <c r="S339" s="670"/>
      <c r="T339" s="670"/>
      <c r="U339" s="670"/>
      <c r="V339" s="670"/>
      <c r="W339" s="670"/>
    </row>
    <row r="340" spans="1:23" ht="12.75" customHeight="1" x14ac:dyDescent="0.25">
      <c r="A340" s="670"/>
      <c r="B340" s="670"/>
      <c r="C340" s="670"/>
      <c r="D340" s="670"/>
      <c r="E340" s="670"/>
      <c r="F340" s="670"/>
      <c r="G340" s="670"/>
      <c r="H340" s="670"/>
      <c r="I340" s="670"/>
      <c r="J340" s="670"/>
      <c r="K340" s="670"/>
      <c r="L340" s="670"/>
      <c r="M340" s="670"/>
      <c r="N340" s="670"/>
      <c r="O340" s="670"/>
      <c r="P340" s="670"/>
      <c r="Q340" s="670"/>
      <c r="R340" s="670"/>
      <c r="S340" s="670"/>
      <c r="T340" s="670"/>
      <c r="U340" s="670"/>
      <c r="V340" s="670"/>
      <c r="W340" s="670"/>
    </row>
    <row r="341" spans="1:23" ht="12.75" customHeight="1" x14ac:dyDescent="0.25">
      <c r="A341" s="670"/>
      <c r="B341" s="670"/>
      <c r="C341" s="670"/>
      <c r="D341" s="670"/>
      <c r="E341" s="670"/>
      <c r="F341" s="670"/>
      <c r="G341" s="670"/>
      <c r="H341" s="670"/>
      <c r="I341" s="670"/>
      <c r="J341" s="670"/>
      <c r="K341" s="670"/>
      <c r="L341" s="670"/>
      <c r="M341" s="670"/>
      <c r="N341" s="670"/>
      <c r="O341" s="670"/>
      <c r="P341" s="670"/>
      <c r="Q341" s="670"/>
      <c r="R341" s="670"/>
      <c r="S341" s="670"/>
      <c r="T341" s="670"/>
      <c r="U341" s="670"/>
      <c r="V341" s="670"/>
      <c r="W341" s="670"/>
    </row>
    <row r="342" spans="1:23" ht="12.75" customHeight="1" x14ac:dyDescent="0.25">
      <c r="A342" s="670"/>
      <c r="B342" s="670"/>
      <c r="C342" s="670"/>
      <c r="D342" s="670"/>
      <c r="E342" s="670"/>
      <c r="F342" s="670"/>
      <c r="G342" s="670"/>
      <c r="H342" s="670"/>
      <c r="I342" s="670"/>
      <c r="J342" s="670"/>
      <c r="K342" s="670"/>
      <c r="L342" s="670"/>
      <c r="M342" s="670"/>
      <c r="N342" s="670"/>
      <c r="O342" s="670"/>
      <c r="P342" s="670"/>
      <c r="Q342" s="670"/>
      <c r="R342" s="670"/>
      <c r="S342" s="670"/>
      <c r="T342" s="670"/>
      <c r="U342" s="670"/>
      <c r="V342" s="670"/>
      <c r="W342" s="670"/>
    </row>
    <row r="343" spans="1:23" ht="12.75" customHeight="1" x14ac:dyDescent="0.25">
      <c r="A343" s="670"/>
      <c r="B343" s="670"/>
      <c r="C343" s="670"/>
      <c r="D343" s="670"/>
      <c r="E343" s="670"/>
      <c r="F343" s="670"/>
      <c r="G343" s="670"/>
      <c r="H343" s="670"/>
      <c r="I343" s="670"/>
      <c r="J343" s="670"/>
      <c r="K343" s="670"/>
      <c r="L343" s="670"/>
      <c r="M343" s="670"/>
      <c r="N343" s="670"/>
      <c r="O343" s="670"/>
      <c r="P343" s="670"/>
      <c r="Q343" s="670"/>
      <c r="R343" s="670"/>
      <c r="S343" s="670"/>
      <c r="T343" s="670"/>
      <c r="U343" s="670"/>
      <c r="V343" s="670"/>
      <c r="W343" s="670"/>
    </row>
    <row r="344" spans="1:23" ht="12.75" customHeight="1" x14ac:dyDescent="0.25">
      <c r="A344" s="670"/>
      <c r="B344" s="670"/>
      <c r="C344" s="670"/>
      <c r="D344" s="670"/>
      <c r="E344" s="670"/>
      <c r="F344" s="670"/>
      <c r="G344" s="670"/>
      <c r="H344" s="670"/>
      <c r="I344" s="670"/>
      <c r="J344" s="670"/>
      <c r="K344" s="670"/>
      <c r="L344" s="670"/>
      <c r="M344" s="670"/>
      <c r="N344" s="670"/>
      <c r="O344" s="670"/>
      <c r="P344" s="670"/>
      <c r="Q344" s="670"/>
      <c r="R344" s="670"/>
      <c r="S344" s="670"/>
      <c r="T344" s="670"/>
      <c r="U344" s="670"/>
      <c r="V344" s="670"/>
      <c r="W344" s="670"/>
    </row>
    <row r="345" spans="1:23" ht="12.75" customHeight="1" x14ac:dyDescent="0.25">
      <c r="A345" s="670"/>
      <c r="B345" s="670"/>
      <c r="C345" s="670"/>
      <c r="D345" s="670"/>
      <c r="E345" s="670"/>
      <c r="F345" s="670"/>
      <c r="G345" s="670"/>
      <c r="H345" s="670"/>
      <c r="I345" s="670"/>
      <c r="J345" s="670"/>
      <c r="K345" s="670"/>
      <c r="L345" s="670"/>
      <c r="M345" s="670"/>
      <c r="N345" s="670"/>
      <c r="O345" s="670"/>
      <c r="P345" s="670"/>
      <c r="Q345" s="670"/>
      <c r="R345" s="670"/>
      <c r="S345" s="670"/>
      <c r="T345" s="670"/>
      <c r="U345" s="670"/>
      <c r="V345" s="670"/>
      <c r="W345" s="670"/>
    </row>
    <row r="346" spans="1:23" ht="12.75" customHeight="1" x14ac:dyDescent="0.25">
      <c r="A346" s="670"/>
      <c r="B346" s="670"/>
      <c r="C346" s="670"/>
      <c r="D346" s="670"/>
      <c r="E346" s="670"/>
      <c r="F346" s="670"/>
      <c r="G346" s="670"/>
      <c r="H346" s="670"/>
      <c r="I346" s="670"/>
      <c r="J346" s="670"/>
      <c r="K346" s="670"/>
      <c r="L346" s="670"/>
      <c r="M346" s="670"/>
      <c r="N346" s="670"/>
      <c r="O346" s="670"/>
      <c r="P346" s="670"/>
      <c r="Q346" s="670"/>
      <c r="R346" s="670"/>
      <c r="S346" s="670"/>
      <c r="T346" s="670"/>
      <c r="U346" s="670"/>
      <c r="V346" s="670"/>
      <c r="W346" s="670"/>
    </row>
    <row r="347" spans="1:23" ht="12.75" customHeight="1" x14ac:dyDescent="0.25">
      <c r="A347" s="670"/>
      <c r="B347" s="670"/>
      <c r="C347" s="670"/>
      <c r="D347" s="670"/>
      <c r="E347" s="670"/>
      <c r="F347" s="670"/>
      <c r="G347" s="670"/>
      <c r="H347" s="670"/>
      <c r="I347" s="670"/>
      <c r="J347" s="670"/>
      <c r="K347" s="670"/>
      <c r="L347" s="670"/>
      <c r="M347" s="670"/>
      <c r="N347" s="670"/>
      <c r="O347" s="670"/>
      <c r="P347" s="670"/>
      <c r="Q347" s="670"/>
      <c r="R347" s="670"/>
      <c r="S347" s="670"/>
      <c r="T347" s="670"/>
      <c r="U347" s="670"/>
      <c r="V347" s="670"/>
      <c r="W347" s="670"/>
    </row>
    <row r="348" spans="1:23" ht="12.75" customHeight="1" x14ac:dyDescent="0.25">
      <c r="A348" s="670"/>
      <c r="B348" s="670"/>
      <c r="C348" s="670"/>
      <c r="D348" s="670"/>
      <c r="E348" s="670"/>
      <c r="F348" s="670"/>
      <c r="G348" s="670"/>
      <c r="H348" s="670"/>
      <c r="I348" s="670"/>
      <c r="J348" s="670"/>
      <c r="K348" s="670"/>
      <c r="L348" s="670"/>
      <c r="M348" s="670"/>
      <c r="N348" s="670"/>
      <c r="O348" s="670"/>
      <c r="P348" s="670"/>
      <c r="Q348" s="670"/>
      <c r="R348" s="670"/>
      <c r="S348" s="670"/>
      <c r="T348" s="670"/>
      <c r="U348" s="670"/>
      <c r="V348" s="670"/>
      <c r="W348" s="670"/>
    </row>
    <row r="349" spans="1:23" ht="12.75" customHeight="1" x14ac:dyDescent="0.25">
      <c r="A349" s="670"/>
      <c r="B349" s="670"/>
      <c r="C349" s="670"/>
      <c r="D349" s="670"/>
      <c r="E349" s="670"/>
      <c r="F349" s="670"/>
      <c r="G349" s="670"/>
      <c r="H349" s="670"/>
      <c r="I349" s="670"/>
      <c r="J349" s="670"/>
      <c r="K349" s="670"/>
      <c r="L349" s="670"/>
      <c r="M349" s="670"/>
      <c r="N349" s="670"/>
      <c r="O349" s="670"/>
      <c r="P349" s="670"/>
      <c r="Q349" s="670"/>
      <c r="R349" s="670"/>
      <c r="S349" s="670"/>
      <c r="T349" s="670"/>
      <c r="U349" s="670"/>
      <c r="V349" s="670"/>
      <c r="W349" s="670"/>
    </row>
    <row r="350" spans="1:23" ht="12.75" customHeight="1" x14ac:dyDescent="0.25">
      <c r="A350" s="670"/>
      <c r="B350" s="670"/>
      <c r="C350" s="670"/>
      <c r="D350" s="670"/>
      <c r="E350" s="670"/>
      <c r="F350" s="670"/>
      <c r="G350" s="670"/>
      <c r="H350" s="670"/>
      <c r="I350" s="670"/>
      <c r="J350" s="670"/>
      <c r="K350" s="670"/>
      <c r="L350" s="670"/>
      <c r="M350" s="670"/>
      <c r="N350" s="670"/>
      <c r="O350" s="670"/>
      <c r="P350" s="670"/>
      <c r="Q350" s="670"/>
      <c r="R350" s="670"/>
      <c r="S350" s="670"/>
      <c r="T350" s="670"/>
      <c r="U350" s="670"/>
      <c r="V350" s="670"/>
      <c r="W350" s="670"/>
    </row>
    <row r="351" spans="1:23" ht="12.75" customHeight="1" x14ac:dyDescent="0.25">
      <c r="A351" s="670"/>
      <c r="B351" s="670"/>
      <c r="C351" s="670"/>
      <c r="D351" s="670"/>
      <c r="E351" s="670"/>
      <c r="F351" s="670"/>
      <c r="G351" s="670"/>
      <c r="H351" s="670"/>
      <c r="I351" s="670"/>
      <c r="J351" s="670"/>
      <c r="K351" s="670"/>
      <c r="L351" s="670"/>
      <c r="M351" s="670"/>
      <c r="N351" s="670"/>
      <c r="O351" s="670"/>
      <c r="P351" s="670"/>
      <c r="Q351" s="670"/>
      <c r="R351" s="670"/>
      <c r="S351" s="670"/>
      <c r="T351" s="670"/>
      <c r="U351" s="670"/>
      <c r="V351" s="670"/>
      <c r="W351" s="670"/>
    </row>
    <row r="352" spans="1:23" ht="12.75" customHeight="1" x14ac:dyDescent="0.25">
      <c r="A352" s="670"/>
      <c r="B352" s="670"/>
      <c r="C352" s="670"/>
      <c r="D352" s="670"/>
      <c r="E352" s="670"/>
      <c r="F352" s="670"/>
      <c r="G352" s="670"/>
      <c r="H352" s="670"/>
      <c r="I352" s="670"/>
      <c r="J352" s="670"/>
      <c r="K352" s="670"/>
      <c r="L352" s="670"/>
      <c r="M352" s="670"/>
      <c r="N352" s="670"/>
      <c r="O352" s="670"/>
      <c r="P352" s="670"/>
      <c r="Q352" s="670"/>
      <c r="R352" s="670"/>
      <c r="S352" s="670"/>
      <c r="T352" s="670"/>
      <c r="U352" s="670"/>
      <c r="V352" s="670"/>
      <c r="W352" s="670"/>
    </row>
    <row r="353" spans="1:23" ht="12.75" customHeight="1" x14ac:dyDescent="0.25">
      <c r="A353" s="670"/>
      <c r="B353" s="670"/>
      <c r="C353" s="670"/>
      <c r="D353" s="670"/>
      <c r="E353" s="670"/>
      <c r="F353" s="670"/>
      <c r="G353" s="670"/>
      <c r="H353" s="670"/>
      <c r="I353" s="670"/>
      <c r="J353" s="670"/>
      <c r="K353" s="670"/>
      <c r="L353" s="670"/>
      <c r="M353" s="670"/>
      <c r="N353" s="670"/>
      <c r="O353" s="670"/>
      <c r="P353" s="670"/>
      <c r="Q353" s="670"/>
      <c r="R353" s="670"/>
      <c r="S353" s="670"/>
      <c r="T353" s="670"/>
      <c r="U353" s="670"/>
      <c r="V353" s="670"/>
      <c r="W353" s="670"/>
    </row>
    <row r="354" spans="1:23" ht="12.75" customHeight="1" x14ac:dyDescent="0.25">
      <c r="A354" s="670"/>
      <c r="B354" s="670"/>
      <c r="C354" s="670"/>
      <c r="D354" s="670"/>
      <c r="E354" s="670"/>
      <c r="F354" s="670"/>
      <c r="G354" s="670"/>
      <c r="H354" s="670"/>
      <c r="I354" s="670"/>
      <c r="J354" s="670"/>
      <c r="K354" s="670"/>
      <c r="L354" s="670"/>
      <c r="M354" s="670"/>
      <c r="N354" s="670"/>
      <c r="O354" s="670"/>
      <c r="P354" s="670"/>
      <c r="Q354" s="670"/>
      <c r="R354" s="670"/>
      <c r="S354" s="670"/>
      <c r="T354" s="670"/>
      <c r="U354" s="670"/>
      <c r="V354" s="670"/>
      <c r="W354" s="670"/>
    </row>
    <row r="355" spans="1:23" ht="12.75" customHeight="1" x14ac:dyDescent="0.25">
      <c r="A355" s="670"/>
      <c r="B355" s="670"/>
      <c r="C355" s="670"/>
      <c r="D355" s="670"/>
      <c r="E355" s="670"/>
      <c r="F355" s="670"/>
      <c r="G355" s="670"/>
      <c r="H355" s="670"/>
      <c r="I355" s="670"/>
      <c r="J355" s="670"/>
      <c r="K355" s="670"/>
      <c r="L355" s="670"/>
      <c r="M355" s="670"/>
      <c r="N355" s="670"/>
      <c r="O355" s="670"/>
      <c r="P355" s="670"/>
      <c r="Q355" s="670"/>
      <c r="R355" s="670"/>
      <c r="S355" s="670"/>
      <c r="T355" s="670"/>
      <c r="U355" s="670"/>
      <c r="V355" s="670"/>
      <c r="W355" s="670"/>
    </row>
    <row r="356" spans="1:23" ht="12.75" customHeight="1" x14ac:dyDescent="0.25">
      <c r="A356" s="670"/>
      <c r="B356" s="670"/>
      <c r="C356" s="670"/>
      <c r="D356" s="670"/>
      <c r="E356" s="670"/>
      <c r="F356" s="670"/>
      <c r="G356" s="670"/>
      <c r="H356" s="670"/>
      <c r="I356" s="670"/>
      <c r="J356" s="670"/>
      <c r="K356" s="670"/>
      <c r="L356" s="670"/>
      <c r="M356" s="670"/>
      <c r="N356" s="670"/>
      <c r="O356" s="670"/>
      <c r="P356" s="670"/>
      <c r="Q356" s="670"/>
      <c r="R356" s="670"/>
      <c r="S356" s="670"/>
      <c r="T356" s="670"/>
      <c r="U356" s="670"/>
      <c r="V356" s="670"/>
      <c r="W356" s="670"/>
    </row>
    <row r="357" spans="1:23" ht="12.75" customHeight="1" x14ac:dyDescent="0.25">
      <c r="A357" s="670"/>
      <c r="B357" s="670"/>
      <c r="C357" s="670"/>
      <c r="D357" s="670"/>
      <c r="E357" s="670"/>
      <c r="F357" s="670"/>
      <c r="G357" s="670"/>
      <c r="H357" s="670"/>
      <c r="I357" s="670"/>
      <c r="J357" s="670"/>
      <c r="K357" s="670"/>
      <c r="L357" s="670"/>
      <c r="M357" s="670"/>
      <c r="N357" s="670"/>
      <c r="O357" s="670"/>
      <c r="P357" s="670"/>
      <c r="Q357" s="670"/>
      <c r="R357" s="670"/>
      <c r="S357" s="670"/>
      <c r="T357" s="670"/>
      <c r="U357" s="670"/>
      <c r="V357" s="670"/>
      <c r="W357" s="670"/>
    </row>
    <row r="358" spans="1:23" ht="12.75" customHeight="1" x14ac:dyDescent="0.25">
      <c r="A358" s="670"/>
      <c r="B358" s="670"/>
      <c r="C358" s="670"/>
      <c r="D358" s="670"/>
      <c r="E358" s="670"/>
      <c r="F358" s="670"/>
      <c r="G358" s="670"/>
      <c r="H358" s="670"/>
      <c r="I358" s="670"/>
      <c r="J358" s="670"/>
      <c r="K358" s="670"/>
      <c r="L358" s="670"/>
      <c r="M358" s="670"/>
      <c r="N358" s="670"/>
      <c r="O358" s="670"/>
      <c r="P358" s="670"/>
      <c r="Q358" s="670"/>
      <c r="R358" s="670"/>
      <c r="S358" s="670"/>
      <c r="T358" s="670"/>
      <c r="U358" s="670"/>
      <c r="V358" s="670"/>
      <c r="W358" s="670"/>
    </row>
    <row r="359" spans="1:23" ht="12.75" customHeight="1" x14ac:dyDescent="0.25">
      <c r="A359" s="670"/>
      <c r="B359" s="670"/>
      <c r="C359" s="670"/>
      <c r="D359" s="670"/>
      <c r="E359" s="670"/>
      <c r="F359" s="670"/>
      <c r="G359" s="670"/>
      <c r="H359" s="670"/>
      <c r="I359" s="670"/>
      <c r="J359" s="670"/>
      <c r="K359" s="670"/>
      <c r="L359" s="670"/>
      <c r="M359" s="670"/>
      <c r="N359" s="670"/>
      <c r="O359" s="670"/>
      <c r="P359" s="670"/>
      <c r="Q359" s="670"/>
      <c r="R359" s="670"/>
      <c r="S359" s="670"/>
      <c r="T359" s="670"/>
      <c r="U359" s="670"/>
      <c r="V359" s="670"/>
      <c r="W359" s="670"/>
    </row>
    <row r="360" spans="1:23" ht="12.75" customHeight="1" x14ac:dyDescent="0.25">
      <c r="A360" s="670"/>
      <c r="B360" s="670"/>
      <c r="C360" s="670"/>
      <c r="D360" s="670"/>
      <c r="E360" s="670"/>
      <c r="F360" s="670"/>
      <c r="G360" s="670"/>
      <c r="H360" s="670"/>
      <c r="I360" s="670"/>
      <c r="J360" s="670"/>
      <c r="K360" s="670"/>
      <c r="L360" s="670"/>
      <c r="M360" s="670"/>
      <c r="N360" s="670"/>
      <c r="O360" s="670"/>
      <c r="P360" s="670"/>
      <c r="Q360" s="670"/>
      <c r="R360" s="670"/>
      <c r="S360" s="670"/>
      <c r="T360" s="670"/>
      <c r="U360" s="670"/>
      <c r="V360" s="670"/>
      <c r="W360" s="670"/>
    </row>
    <row r="361" spans="1:23" ht="12.75" customHeight="1" x14ac:dyDescent="0.25">
      <c r="A361" s="670"/>
      <c r="B361" s="670"/>
      <c r="C361" s="670"/>
      <c r="D361" s="670"/>
      <c r="E361" s="670"/>
      <c r="F361" s="670"/>
      <c r="G361" s="670"/>
      <c r="H361" s="670"/>
      <c r="I361" s="670"/>
      <c r="J361" s="670"/>
      <c r="K361" s="670"/>
      <c r="L361" s="670"/>
      <c r="M361" s="670"/>
      <c r="N361" s="670"/>
      <c r="O361" s="670"/>
      <c r="P361" s="670"/>
      <c r="Q361" s="670"/>
      <c r="R361" s="670"/>
      <c r="S361" s="670"/>
      <c r="T361" s="670"/>
      <c r="U361" s="670"/>
      <c r="V361" s="670"/>
      <c r="W361" s="670"/>
    </row>
    <row r="362" spans="1:23" ht="12.75" customHeight="1" x14ac:dyDescent="0.25">
      <c r="A362" s="670"/>
      <c r="B362" s="670"/>
      <c r="C362" s="670"/>
      <c r="D362" s="670"/>
      <c r="E362" s="670"/>
      <c r="F362" s="670"/>
      <c r="G362" s="670"/>
      <c r="H362" s="670"/>
      <c r="I362" s="670"/>
      <c r="J362" s="670"/>
      <c r="K362" s="670"/>
      <c r="L362" s="670"/>
      <c r="M362" s="670"/>
      <c r="N362" s="670"/>
      <c r="O362" s="670"/>
      <c r="P362" s="670"/>
      <c r="Q362" s="670"/>
      <c r="R362" s="670"/>
      <c r="S362" s="670"/>
      <c r="T362" s="670"/>
      <c r="U362" s="670"/>
      <c r="V362" s="670"/>
      <c r="W362" s="670"/>
    </row>
    <row r="363" spans="1:23" ht="12.75" customHeight="1" x14ac:dyDescent="0.25">
      <c r="A363" s="670"/>
      <c r="B363" s="670"/>
      <c r="C363" s="670"/>
      <c r="D363" s="670"/>
      <c r="E363" s="670"/>
      <c r="F363" s="670"/>
      <c r="G363" s="670"/>
      <c r="H363" s="670"/>
      <c r="I363" s="670"/>
      <c r="J363" s="670"/>
      <c r="K363" s="670"/>
      <c r="L363" s="670"/>
      <c r="M363" s="670"/>
      <c r="N363" s="670"/>
      <c r="O363" s="670"/>
      <c r="P363" s="670"/>
      <c r="Q363" s="670"/>
      <c r="R363" s="670"/>
      <c r="S363" s="670"/>
      <c r="T363" s="670"/>
      <c r="U363" s="670"/>
      <c r="V363" s="670"/>
      <c r="W363" s="670"/>
    </row>
    <row r="364" spans="1:23" ht="12.75" customHeight="1" x14ac:dyDescent="0.25">
      <c r="A364" s="670"/>
      <c r="B364" s="670"/>
      <c r="C364" s="670"/>
      <c r="D364" s="670"/>
      <c r="E364" s="670"/>
      <c r="F364" s="670"/>
      <c r="G364" s="670"/>
      <c r="H364" s="670"/>
      <c r="I364" s="670"/>
      <c r="J364" s="670"/>
      <c r="K364" s="670"/>
      <c r="L364" s="670"/>
      <c r="M364" s="670"/>
      <c r="N364" s="670"/>
      <c r="O364" s="670"/>
      <c r="P364" s="670"/>
      <c r="Q364" s="670"/>
      <c r="R364" s="670"/>
      <c r="S364" s="670"/>
      <c r="T364" s="670"/>
      <c r="U364" s="670"/>
      <c r="V364" s="670"/>
      <c r="W364" s="670"/>
    </row>
    <row r="365" spans="1:23" ht="12.75" customHeight="1" x14ac:dyDescent="0.25">
      <c r="A365" s="670"/>
      <c r="B365" s="670"/>
      <c r="C365" s="670"/>
      <c r="D365" s="670"/>
      <c r="E365" s="670"/>
      <c r="F365" s="670"/>
      <c r="G365" s="670"/>
      <c r="H365" s="670"/>
      <c r="I365" s="670"/>
      <c r="J365" s="670"/>
      <c r="K365" s="670"/>
      <c r="L365" s="670"/>
      <c r="M365" s="670"/>
      <c r="N365" s="670"/>
      <c r="O365" s="670"/>
      <c r="P365" s="670"/>
      <c r="Q365" s="670"/>
      <c r="R365" s="670"/>
      <c r="S365" s="670"/>
      <c r="T365" s="670"/>
      <c r="U365" s="670"/>
      <c r="V365" s="670"/>
      <c r="W365" s="670"/>
    </row>
    <row r="366" spans="1:23" ht="12.75" customHeight="1" x14ac:dyDescent="0.25">
      <c r="A366" s="670"/>
      <c r="B366" s="670"/>
      <c r="C366" s="670"/>
      <c r="D366" s="670"/>
      <c r="E366" s="670"/>
      <c r="F366" s="670"/>
      <c r="G366" s="670"/>
      <c r="H366" s="670"/>
      <c r="I366" s="670"/>
      <c r="J366" s="670"/>
      <c r="K366" s="670"/>
      <c r="L366" s="670"/>
      <c r="M366" s="670"/>
      <c r="N366" s="670"/>
      <c r="O366" s="670"/>
      <c r="P366" s="670"/>
      <c r="Q366" s="670"/>
      <c r="R366" s="670"/>
      <c r="S366" s="670"/>
      <c r="T366" s="670"/>
      <c r="U366" s="670"/>
      <c r="V366" s="670"/>
      <c r="W366" s="670"/>
    </row>
    <row r="367" spans="1:23" ht="12.75" customHeight="1" x14ac:dyDescent="0.25">
      <c r="A367" s="670"/>
      <c r="B367" s="670"/>
      <c r="C367" s="670"/>
      <c r="D367" s="670"/>
      <c r="E367" s="670"/>
      <c r="F367" s="670"/>
      <c r="G367" s="670"/>
      <c r="H367" s="670"/>
      <c r="I367" s="670"/>
      <c r="J367" s="670"/>
      <c r="K367" s="670"/>
      <c r="L367" s="670"/>
      <c r="M367" s="670"/>
      <c r="N367" s="670"/>
      <c r="O367" s="670"/>
      <c r="P367" s="670"/>
      <c r="Q367" s="670"/>
      <c r="R367" s="670"/>
      <c r="S367" s="670"/>
      <c r="T367" s="670"/>
      <c r="U367" s="670"/>
      <c r="V367" s="670"/>
      <c r="W367" s="670"/>
    </row>
    <row r="368" spans="1:23" ht="12.75" customHeight="1" x14ac:dyDescent="0.25">
      <c r="A368" s="670"/>
      <c r="B368" s="670"/>
      <c r="C368" s="670"/>
      <c r="D368" s="670"/>
      <c r="E368" s="670"/>
      <c r="F368" s="670"/>
      <c r="G368" s="670"/>
      <c r="H368" s="670"/>
      <c r="I368" s="670"/>
      <c r="J368" s="670"/>
      <c r="K368" s="670"/>
      <c r="L368" s="670"/>
      <c r="M368" s="670"/>
      <c r="N368" s="670"/>
      <c r="O368" s="670"/>
      <c r="P368" s="670"/>
      <c r="Q368" s="670"/>
      <c r="R368" s="670"/>
      <c r="S368" s="670"/>
      <c r="T368" s="670"/>
      <c r="U368" s="670"/>
      <c r="V368" s="670"/>
      <c r="W368" s="670"/>
    </row>
    <row r="369" spans="1:23" ht="12.75" customHeight="1" x14ac:dyDescent="0.25">
      <c r="A369" s="670"/>
      <c r="B369" s="670"/>
      <c r="C369" s="670"/>
      <c r="D369" s="670"/>
      <c r="E369" s="670"/>
      <c r="F369" s="670"/>
      <c r="G369" s="670"/>
      <c r="H369" s="670"/>
      <c r="I369" s="670"/>
      <c r="J369" s="670"/>
      <c r="K369" s="670"/>
      <c r="L369" s="670"/>
      <c r="M369" s="670"/>
      <c r="N369" s="670"/>
      <c r="O369" s="670"/>
      <c r="P369" s="670"/>
      <c r="Q369" s="670"/>
      <c r="R369" s="670"/>
      <c r="S369" s="670"/>
      <c r="T369" s="670"/>
      <c r="U369" s="670"/>
      <c r="V369" s="670"/>
      <c r="W369" s="670"/>
    </row>
    <row r="370" spans="1:23" ht="12.75" customHeight="1" x14ac:dyDescent="0.25">
      <c r="A370" s="670"/>
      <c r="B370" s="670"/>
      <c r="C370" s="670"/>
      <c r="D370" s="670"/>
      <c r="E370" s="670"/>
      <c r="F370" s="670"/>
      <c r="G370" s="670"/>
      <c r="H370" s="670"/>
      <c r="I370" s="670"/>
      <c r="J370" s="670"/>
      <c r="K370" s="670"/>
      <c r="L370" s="670"/>
      <c r="M370" s="670"/>
      <c r="N370" s="670"/>
      <c r="O370" s="670"/>
      <c r="P370" s="670"/>
      <c r="Q370" s="670"/>
      <c r="R370" s="670"/>
      <c r="S370" s="670"/>
      <c r="T370" s="670"/>
      <c r="U370" s="670"/>
      <c r="V370" s="670"/>
      <c r="W370" s="670"/>
    </row>
    <row r="371" spans="1:23" ht="12.75" customHeight="1" x14ac:dyDescent="0.25">
      <c r="A371" s="670"/>
      <c r="B371" s="670"/>
      <c r="C371" s="670"/>
      <c r="D371" s="670"/>
      <c r="E371" s="670"/>
      <c r="F371" s="670"/>
      <c r="G371" s="670"/>
      <c r="H371" s="670"/>
      <c r="I371" s="670"/>
      <c r="J371" s="670"/>
      <c r="K371" s="670"/>
      <c r="L371" s="670"/>
      <c r="M371" s="670"/>
      <c r="N371" s="670"/>
      <c r="O371" s="670"/>
      <c r="P371" s="670"/>
      <c r="Q371" s="670"/>
      <c r="R371" s="670"/>
      <c r="S371" s="670"/>
      <c r="T371" s="670"/>
      <c r="U371" s="670"/>
      <c r="V371" s="670"/>
      <c r="W371" s="670"/>
    </row>
    <row r="372" spans="1:23" ht="12.75" customHeight="1" x14ac:dyDescent="0.25">
      <c r="A372" s="670"/>
      <c r="B372" s="670"/>
      <c r="C372" s="670"/>
      <c r="D372" s="670"/>
      <c r="E372" s="670"/>
      <c r="F372" s="670"/>
      <c r="G372" s="670"/>
      <c r="H372" s="670"/>
      <c r="I372" s="670"/>
      <c r="J372" s="670"/>
      <c r="K372" s="670"/>
      <c r="L372" s="670"/>
      <c r="M372" s="670"/>
      <c r="N372" s="670"/>
      <c r="O372" s="670"/>
      <c r="P372" s="670"/>
      <c r="Q372" s="670"/>
      <c r="R372" s="670"/>
      <c r="S372" s="670"/>
      <c r="T372" s="670"/>
      <c r="U372" s="670"/>
      <c r="V372" s="670"/>
      <c r="W372" s="670"/>
    </row>
    <row r="373" spans="1:23" ht="12.75" customHeight="1" x14ac:dyDescent="0.25">
      <c r="A373" s="670"/>
      <c r="B373" s="670"/>
      <c r="C373" s="670"/>
      <c r="D373" s="670"/>
      <c r="E373" s="670"/>
      <c r="F373" s="670"/>
      <c r="G373" s="670"/>
      <c r="H373" s="670"/>
      <c r="I373" s="670"/>
      <c r="J373" s="670"/>
      <c r="K373" s="670"/>
      <c r="L373" s="670"/>
      <c r="M373" s="670"/>
      <c r="N373" s="670"/>
      <c r="O373" s="670"/>
      <c r="P373" s="670"/>
      <c r="Q373" s="670"/>
      <c r="R373" s="670"/>
      <c r="S373" s="670"/>
      <c r="T373" s="670"/>
      <c r="U373" s="670"/>
      <c r="V373" s="670"/>
      <c r="W373" s="670"/>
    </row>
    <row r="374" spans="1:23" ht="12.75" customHeight="1" x14ac:dyDescent="0.25">
      <c r="A374" s="670"/>
      <c r="B374" s="670"/>
      <c r="C374" s="670"/>
      <c r="D374" s="670"/>
      <c r="E374" s="670"/>
      <c r="F374" s="670"/>
      <c r="G374" s="670"/>
      <c r="H374" s="670"/>
      <c r="I374" s="670"/>
      <c r="J374" s="670"/>
      <c r="K374" s="670"/>
      <c r="L374" s="670"/>
      <c r="M374" s="670"/>
      <c r="N374" s="670"/>
      <c r="O374" s="670"/>
      <c r="P374" s="670"/>
      <c r="Q374" s="670"/>
      <c r="R374" s="670"/>
      <c r="S374" s="670"/>
      <c r="T374" s="670"/>
      <c r="U374" s="670"/>
      <c r="V374" s="670"/>
      <c r="W374" s="670"/>
    </row>
    <row r="375" spans="1:23" ht="12.75" customHeight="1" x14ac:dyDescent="0.25">
      <c r="A375" s="670"/>
      <c r="B375" s="670"/>
      <c r="C375" s="670"/>
      <c r="D375" s="670"/>
      <c r="E375" s="670"/>
      <c r="F375" s="670"/>
      <c r="G375" s="670"/>
      <c r="H375" s="670"/>
      <c r="I375" s="670"/>
      <c r="J375" s="670"/>
      <c r="K375" s="670"/>
      <c r="L375" s="670"/>
      <c r="M375" s="670"/>
      <c r="N375" s="670"/>
      <c r="O375" s="670"/>
      <c r="P375" s="670"/>
      <c r="Q375" s="670"/>
      <c r="R375" s="670"/>
      <c r="S375" s="670"/>
      <c r="T375" s="670"/>
      <c r="U375" s="670"/>
      <c r="V375" s="670"/>
      <c r="W375" s="670"/>
    </row>
    <row r="376" spans="1:23" ht="12.75" customHeight="1" x14ac:dyDescent="0.25">
      <c r="A376" s="670"/>
      <c r="B376" s="670"/>
      <c r="C376" s="670"/>
      <c r="D376" s="670"/>
      <c r="E376" s="670"/>
      <c r="F376" s="670"/>
      <c r="G376" s="670"/>
      <c r="H376" s="670"/>
      <c r="I376" s="670"/>
      <c r="J376" s="670"/>
      <c r="K376" s="670"/>
      <c r="L376" s="670"/>
      <c r="M376" s="670"/>
      <c r="N376" s="670"/>
      <c r="O376" s="670"/>
      <c r="P376" s="670"/>
      <c r="Q376" s="670"/>
      <c r="R376" s="670"/>
      <c r="S376" s="670"/>
      <c r="T376" s="670"/>
      <c r="U376" s="670"/>
      <c r="V376" s="670"/>
      <c r="W376" s="670"/>
    </row>
    <row r="377" spans="1:23" ht="12.75" customHeight="1" x14ac:dyDescent="0.25">
      <c r="A377" s="670"/>
      <c r="B377" s="670"/>
      <c r="C377" s="670"/>
      <c r="D377" s="670"/>
      <c r="E377" s="670"/>
      <c r="F377" s="670"/>
      <c r="G377" s="670"/>
      <c r="H377" s="670"/>
      <c r="I377" s="670"/>
      <c r="J377" s="670"/>
      <c r="K377" s="670"/>
      <c r="L377" s="670"/>
      <c r="M377" s="670"/>
      <c r="N377" s="670"/>
      <c r="O377" s="670"/>
      <c r="P377" s="670"/>
      <c r="Q377" s="670"/>
      <c r="R377" s="670"/>
      <c r="S377" s="670"/>
      <c r="T377" s="670"/>
      <c r="U377" s="670"/>
      <c r="V377" s="670"/>
      <c r="W377" s="670"/>
    </row>
    <row r="378" spans="1:23" ht="12.75" customHeight="1" x14ac:dyDescent="0.25">
      <c r="A378" s="670"/>
      <c r="B378" s="670"/>
      <c r="C378" s="670"/>
      <c r="D378" s="670"/>
      <c r="E378" s="670"/>
      <c r="F378" s="670"/>
      <c r="G378" s="670"/>
      <c r="H378" s="670"/>
      <c r="I378" s="670"/>
      <c r="J378" s="670"/>
      <c r="K378" s="670"/>
      <c r="L378" s="670"/>
      <c r="M378" s="670"/>
      <c r="N378" s="670"/>
      <c r="O378" s="670"/>
      <c r="P378" s="670"/>
      <c r="Q378" s="670"/>
      <c r="R378" s="670"/>
      <c r="S378" s="670"/>
      <c r="T378" s="670"/>
      <c r="U378" s="670"/>
      <c r="V378" s="670"/>
      <c r="W378" s="670"/>
    </row>
    <row r="379" spans="1:23" ht="12.75" customHeight="1" x14ac:dyDescent="0.25">
      <c r="A379" s="670"/>
      <c r="B379" s="670"/>
      <c r="C379" s="670"/>
      <c r="D379" s="670"/>
      <c r="E379" s="670"/>
      <c r="F379" s="670"/>
      <c r="G379" s="670"/>
      <c r="H379" s="670"/>
      <c r="I379" s="670"/>
      <c r="J379" s="670"/>
      <c r="K379" s="670"/>
      <c r="L379" s="670"/>
      <c r="M379" s="670"/>
      <c r="N379" s="670"/>
      <c r="O379" s="670"/>
      <c r="P379" s="670"/>
      <c r="Q379" s="670"/>
      <c r="R379" s="670"/>
      <c r="S379" s="670"/>
      <c r="T379" s="670"/>
      <c r="U379" s="670"/>
      <c r="V379" s="670"/>
      <c r="W379" s="670"/>
    </row>
    <row r="380" spans="1:23" ht="12.75" customHeight="1" x14ac:dyDescent="0.25">
      <c r="A380" s="670"/>
      <c r="B380" s="670"/>
      <c r="C380" s="670"/>
      <c r="D380" s="670"/>
      <c r="E380" s="670"/>
      <c r="F380" s="670"/>
      <c r="G380" s="670"/>
      <c r="H380" s="670"/>
      <c r="I380" s="670"/>
      <c r="J380" s="670"/>
      <c r="K380" s="670"/>
      <c r="L380" s="670"/>
      <c r="M380" s="670"/>
      <c r="N380" s="670"/>
      <c r="O380" s="670"/>
      <c r="P380" s="670"/>
      <c r="Q380" s="670"/>
      <c r="R380" s="670"/>
      <c r="S380" s="670"/>
      <c r="T380" s="670"/>
      <c r="U380" s="670"/>
      <c r="V380" s="670"/>
      <c r="W380" s="670"/>
    </row>
    <row r="381" spans="1:23" ht="12.75" customHeight="1" x14ac:dyDescent="0.25">
      <c r="A381" s="670"/>
      <c r="B381" s="670"/>
      <c r="C381" s="670"/>
      <c r="D381" s="670"/>
      <c r="E381" s="670"/>
      <c r="F381" s="670"/>
      <c r="G381" s="670"/>
      <c r="H381" s="670"/>
      <c r="I381" s="670"/>
      <c r="J381" s="670"/>
      <c r="K381" s="670"/>
      <c r="L381" s="670"/>
      <c r="M381" s="670"/>
      <c r="N381" s="670"/>
      <c r="O381" s="670"/>
      <c r="P381" s="670"/>
      <c r="Q381" s="670"/>
      <c r="R381" s="670"/>
      <c r="S381" s="670"/>
      <c r="T381" s="670"/>
      <c r="U381" s="670"/>
      <c r="V381" s="670"/>
      <c r="W381" s="670"/>
    </row>
    <row r="382" spans="1:23" ht="12.75" customHeight="1" x14ac:dyDescent="0.25">
      <c r="A382" s="670"/>
      <c r="B382" s="670"/>
      <c r="C382" s="670"/>
      <c r="D382" s="670"/>
      <c r="E382" s="670"/>
      <c r="F382" s="670"/>
      <c r="G382" s="670"/>
      <c r="H382" s="670"/>
      <c r="I382" s="670"/>
      <c r="J382" s="670"/>
      <c r="K382" s="670"/>
      <c r="L382" s="670"/>
      <c r="M382" s="670"/>
      <c r="N382" s="670"/>
      <c r="O382" s="670"/>
      <c r="P382" s="670"/>
      <c r="Q382" s="670"/>
      <c r="R382" s="670"/>
      <c r="S382" s="670"/>
      <c r="T382" s="670"/>
      <c r="U382" s="670"/>
      <c r="V382" s="670"/>
      <c r="W382" s="670"/>
    </row>
    <row r="383" spans="1:23" ht="12.75" customHeight="1" x14ac:dyDescent="0.25">
      <c r="A383" s="670"/>
      <c r="B383" s="670"/>
      <c r="C383" s="670"/>
      <c r="D383" s="670"/>
      <c r="E383" s="670"/>
      <c r="F383" s="670"/>
      <c r="G383" s="670"/>
      <c r="H383" s="670"/>
      <c r="I383" s="670"/>
      <c r="J383" s="670"/>
      <c r="K383" s="670"/>
      <c r="L383" s="670"/>
      <c r="M383" s="670"/>
      <c r="N383" s="670"/>
      <c r="O383" s="670"/>
      <c r="P383" s="670"/>
      <c r="Q383" s="670"/>
      <c r="R383" s="670"/>
      <c r="S383" s="670"/>
      <c r="T383" s="670"/>
      <c r="U383" s="670"/>
      <c r="V383" s="670"/>
      <c r="W383" s="670"/>
    </row>
    <row r="384" spans="1:23" ht="12.75" customHeight="1" x14ac:dyDescent="0.25">
      <c r="A384" s="670"/>
      <c r="B384" s="670"/>
      <c r="C384" s="670"/>
      <c r="D384" s="670"/>
      <c r="E384" s="670"/>
      <c r="F384" s="670"/>
      <c r="G384" s="670"/>
      <c r="H384" s="670"/>
      <c r="I384" s="670"/>
      <c r="J384" s="670"/>
      <c r="K384" s="670"/>
      <c r="L384" s="670"/>
      <c r="M384" s="670"/>
      <c r="N384" s="670"/>
      <c r="O384" s="670"/>
      <c r="P384" s="670"/>
      <c r="Q384" s="670"/>
      <c r="R384" s="670"/>
      <c r="S384" s="670"/>
      <c r="T384" s="670"/>
      <c r="U384" s="670"/>
      <c r="V384" s="670"/>
      <c r="W384" s="670"/>
    </row>
    <row r="385" spans="1:23" ht="12.75" customHeight="1" x14ac:dyDescent="0.25">
      <c r="A385" s="670"/>
      <c r="B385" s="670"/>
      <c r="C385" s="670"/>
      <c r="D385" s="670"/>
      <c r="E385" s="670"/>
      <c r="F385" s="670"/>
      <c r="G385" s="670"/>
      <c r="H385" s="670"/>
      <c r="I385" s="670"/>
      <c r="J385" s="670"/>
      <c r="K385" s="670"/>
      <c r="L385" s="670"/>
      <c r="M385" s="670"/>
      <c r="N385" s="670"/>
      <c r="O385" s="670"/>
      <c r="P385" s="670"/>
      <c r="Q385" s="670"/>
      <c r="R385" s="670"/>
      <c r="S385" s="670"/>
      <c r="T385" s="670"/>
      <c r="U385" s="670"/>
      <c r="V385" s="670"/>
      <c r="W385" s="670"/>
    </row>
    <row r="386" spans="1:23" ht="12.75" customHeight="1" x14ac:dyDescent="0.25">
      <c r="A386" s="670"/>
      <c r="B386" s="670"/>
      <c r="C386" s="670"/>
      <c r="D386" s="670"/>
      <c r="E386" s="670"/>
      <c r="F386" s="670"/>
      <c r="G386" s="670"/>
      <c r="H386" s="670"/>
      <c r="I386" s="670"/>
      <c r="J386" s="670"/>
      <c r="K386" s="670"/>
      <c r="L386" s="670"/>
      <c r="M386" s="670"/>
      <c r="N386" s="670"/>
      <c r="O386" s="670"/>
      <c r="P386" s="670"/>
      <c r="Q386" s="670"/>
      <c r="R386" s="670"/>
      <c r="S386" s="670"/>
      <c r="T386" s="670"/>
      <c r="U386" s="670"/>
      <c r="V386" s="670"/>
      <c r="W386" s="670"/>
    </row>
    <row r="387" spans="1:23" ht="12.75" customHeight="1" x14ac:dyDescent="0.25">
      <c r="A387" s="670"/>
      <c r="B387" s="670"/>
      <c r="C387" s="670"/>
      <c r="D387" s="670"/>
      <c r="E387" s="670"/>
      <c r="F387" s="670"/>
      <c r="G387" s="670"/>
      <c r="H387" s="670"/>
      <c r="I387" s="670"/>
      <c r="J387" s="670"/>
      <c r="K387" s="670"/>
      <c r="L387" s="670"/>
      <c r="M387" s="670"/>
      <c r="N387" s="670"/>
      <c r="O387" s="670"/>
      <c r="P387" s="670"/>
      <c r="Q387" s="670"/>
      <c r="R387" s="670"/>
      <c r="S387" s="670"/>
      <c r="T387" s="670"/>
      <c r="U387" s="670"/>
      <c r="V387" s="670"/>
      <c r="W387" s="670"/>
    </row>
    <row r="388" spans="1:23" ht="12.75" customHeight="1" x14ac:dyDescent="0.25">
      <c r="A388" s="670"/>
      <c r="B388" s="670"/>
      <c r="C388" s="670"/>
      <c r="D388" s="670"/>
      <c r="E388" s="670"/>
      <c r="F388" s="670"/>
      <c r="G388" s="670"/>
      <c r="H388" s="670"/>
      <c r="I388" s="670"/>
      <c r="J388" s="670"/>
      <c r="K388" s="670"/>
      <c r="L388" s="670"/>
      <c r="M388" s="670"/>
      <c r="N388" s="670"/>
      <c r="O388" s="670"/>
      <c r="P388" s="670"/>
      <c r="Q388" s="670"/>
      <c r="R388" s="670"/>
      <c r="S388" s="670"/>
      <c r="T388" s="670"/>
      <c r="U388" s="670"/>
      <c r="V388" s="670"/>
      <c r="W388" s="670"/>
    </row>
    <row r="389" spans="1:23" ht="12.75" customHeight="1" x14ac:dyDescent="0.25">
      <c r="A389" s="670"/>
      <c r="B389" s="670"/>
      <c r="C389" s="670"/>
      <c r="D389" s="670"/>
      <c r="E389" s="670"/>
      <c r="F389" s="670"/>
      <c r="G389" s="670"/>
      <c r="H389" s="670"/>
      <c r="I389" s="670"/>
      <c r="J389" s="670"/>
      <c r="K389" s="670"/>
      <c r="L389" s="670"/>
      <c r="M389" s="670"/>
      <c r="N389" s="670"/>
      <c r="O389" s="670"/>
      <c r="P389" s="670"/>
      <c r="Q389" s="670"/>
      <c r="R389" s="670"/>
      <c r="S389" s="670"/>
      <c r="T389" s="670"/>
      <c r="U389" s="670"/>
      <c r="V389" s="670"/>
      <c r="W389" s="670"/>
    </row>
    <row r="390" spans="1:23" ht="12.75" customHeight="1" x14ac:dyDescent="0.25">
      <c r="A390" s="670"/>
      <c r="B390" s="670"/>
      <c r="C390" s="670"/>
      <c r="D390" s="670"/>
      <c r="E390" s="670"/>
      <c r="F390" s="670"/>
      <c r="G390" s="670"/>
      <c r="H390" s="670"/>
      <c r="I390" s="670"/>
      <c r="J390" s="670"/>
      <c r="K390" s="670"/>
      <c r="L390" s="670"/>
      <c r="M390" s="670"/>
      <c r="N390" s="670"/>
      <c r="O390" s="670"/>
      <c r="P390" s="670"/>
      <c r="Q390" s="670"/>
      <c r="R390" s="670"/>
      <c r="S390" s="670"/>
      <c r="T390" s="670"/>
      <c r="U390" s="670"/>
      <c r="V390" s="670"/>
      <c r="W390" s="670"/>
    </row>
    <row r="391" spans="1:23" ht="12.75" customHeight="1" x14ac:dyDescent="0.25">
      <c r="A391" s="670"/>
      <c r="B391" s="670"/>
      <c r="C391" s="670"/>
      <c r="D391" s="670"/>
      <c r="E391" s="670"/>
      <c r="F391" s="670"/>
      <c r="G391" s="670"/>
      <c r="H391" s="670"/>
      <c r="I391" s="670"/>
      <c r="J391" s="670"/>
      <c r="K391" s="670"/>
      <c r="L391" s="670"/>
      <c r="M391" s="670"/>
      <c r="N391" s="670"/>
      <c r="O391" s="670"/>
      <c r="P391" s="670"/>
      <c r="Q391" s="670"/>
      <c r="R391" s="670"/>
      <c r="S391" s="670"/>
      <c r="T391" s="670"/>
      <c r="U391" s="670"/>
      <c r="V391" s="670"/>
      <c r="W391" s="670"/>
    </row>
    <row r="392" spans="1:23" ht="12.75" customHeight="1" x14ac:dyDescent="0.25">
      <c r="A392" s="670"/>
      <c r="B392" s="670"/>
      <c r="C392" s="670"/>
      <c r="D392" s="670"/>
      <c r="E392" s="670"/>
      <c r="F392" s="670"/>
      <c r="G392" s="670"/>
      <c r="H392" s="670"/>
      <c r="I392" s="670"/>
      <c r="J392" s="670"/>
      <c r="K392" s="670"/>
      <c r="L392" s="670"/>
      <c r="M392" s="670"/>
      <c r="N392" s="670"/>
      <c r="O392" s="670"/>
      <c r="P392" s="670"/>
      <c r="Q392" s="670"/>
      <c r="R392" s="670"/>
      <c r="S392" s="670"/>
      <c r="T392" s="670"/>
      <c r="U392" s="670"/>
      <c r="V392" s="670"/>
      <c r="W392" s="670"/>
    </row>
    <row r="393" spans="1:23" ht="12.75" customHeight="1" x14ac:dyDescent="0.25">
      <c r="A393" s="670"/>
      <c r="B393" s="670"/>
      <c r="C393" s="670"/>
      <c r="D393" s="670"/>
      <c r="E393" s="670"/>
      <c r="F393" s="670"/>
      <c r="G393" s="670"/>
      <c r="H393" s="670"/>
      <c r="I393" s="670"/>
      <c r="J393" s="670"/>
      <c r="K393" s="670"/>
      <c r="L393" s="670"/>
      <c r="M393" s="670"/>
      <c r="N393" s="670"/>
      <c r="O393" s="670"/>
      <c r="P393" s="670"/>
      <c r="Q393" s="670"/>
      <c r="R393" s="670"/>
      <c r="S393" s="670"/>
      <c r="T393" s="670"/>
      <c r="U393" s="670"/>
      <c r="V393" s="670"/>
      <c r="W393" s="670"/>
    </row>
    <row r="394" spans="1:23" ht="12.75" customHeight="1" x14ac:dyDescent="0.25">
      <c r="A394" s="670"/>
      <c r="B394" s="670"/>
      <c r="C394" s="670"/>
      <c r="D394" s="670"/>
      <c r="E394" s="670"/>
      <c r="F394" s="670"/>
      <c r="G394" s="670"/>
      <c r="H394" s="670"/>
      <c r="I394" s="670"/>
      <c r="J394" s="670"/>
      <c r="K394" s="670"/>
      <c r="L394" s="670"/>
      <c r="M394" s="670"/>
      <c r="N394" s="670"/>
      <c r="O394" s="670"/>
      <c r="P394" s="670"/>
      <c r="Q394" s="670"/>
      <c r="R394" s="670"/>
      <c r="S394" s="670"/>
      <c r="T394" s="670"/>
      <c r="U394" s="670"/>
      <c r="V394" s="670"/>
      <c r="W394" s="670"/>
    </row>
    <row r="395" spans="1:23" ht="12.75" customHeight="1" x14ac:dyDescent="0.25">
      <c r="A395" s="670"/>
      <c r="B395" s="670"/>
      <c r="C395" s="670"/>
      <c r="D395" s="670"/>
      <c r="E395" s="670"/>
      <c r="F395" s="670"/>
      <c r="G395" s="670"/>
      <c r="H395" s="670"/>
      <c r="I395" s="670"/>
      <c r="J395" s="670"/>
      <c r="K395" s="670"/>
      <c r="L395" s="670"/>
      <c r="M395" s="670"/>
      <c r="N395" s="670"/>
      <c r="O395" s="670"/>
      <c r="P395" s="670"/>
      <c r="Q395" s="670"/>
      <c r="R395" s="670"/>
      <c r="S395" s="670"/>
      <c r="T395" s="670"/>
      <c r="U395" s="670"/>
      <c r="V395" s="670"/>
      <c r="W395" s="670"/>
    </row>
    <row r="396" spans="1:23" ht="12.75" customHeight="1" x14ac:dyDescent="0.25">
      <c r="A396" s="670"/>
      <c r="B396" s="670"/>
      <c r="C396" s="670"/>
      <c r="D396" s="670"/>
      <c r="E396" s="670"/>
      <c r="F396" s="670"/>
      <c r="G396" s="670"/>
      <c r="H396" s="670"/>
      <c r="I396" s="670"/>
      <c r="J396" s="670"/>
      <c r="K396" s="670"/>
      <c r="L396" s="670"/>
      <c r="M396" s="670"/>
      <c r="N396" s="670"/>
      <c r="O396" s="670"/>
      <c r="P396" s="670"/>
      <c r="Q396" s="670"/>
      <c r="R396" s="670"/>
      <c r="S396" s="670"/>
      <c r="T396" s="670"/>
      <c r="U396" s="670"/>
      <c r="V396" s="670"/>
      <c r="W396" s="670"/>
    </row>
    <row r="397" spans="1:23" ht="12.75" customHeight="1" x14ac:dyDescent="0.25">
      <c r="A397" s="670"/>
      <c r="B397" s="670"/>
      <c r="C397" s="670"/>
      <c r="D397" s="670"/>
      <c r="E397" s="670"/>
      <c r="F397" s="670"/>
      <c r="G397" s="670"/>
      <c r="H397" s="670"/>
      <c r="I397" s="670"/>
      <c r="J397" s="670"/>
      <c r="K397" s="670"/>
      <c r="L397" s="670"/>
      <c r="M397" s="670"/>
      <c r="N397" s="670"/>
      <c r="O397" s="670"/>
      <c r="P397" s="670"/>
      <c r="Q397" s="670"/>
      <c r="R397" s="670"/>
      <c r="S397" s="670"/>
      <c r="T397" s="670"/>
      <c r="U397" s="670"/>
      <c r="V397" s="670"/>
      <c r="W397" s="670"/>
    </row>
    <row r="398" spans="1:23" ht="12.75" customHeight="1" x14ac:dyDescent="0.25">
      <c r="A398" s="670"/>
      <c r="B398" s="670"/>
      <c r="C398" s="670"/>
      <c r="D398" s="670"/>
      <c r="E398" s="670"/>
      <c r="F398" s="670"/>
      <c r="G398" s="670"/>
      <c r="H398" s="670"/>
      <c r="I398" s="670"/>
      <c r="J398" s="670"/>
      <c r="K398" s="670"/>
      <c r="L398" s="670"/>
      <c r="M398" s="670"/>
      <c r="N398" s="670"/>
      <c r="O398" s="670"/>
      <c r="P398" s="670"/>
      <c r="Q398" s="670"/>
      <c r="R398" s="670"/>
      <c r="S398" s="670"/>
      <c r="T398" s="670"/>
      <c r="U398" s="670"/>
      <c r="V398" s="670"/>
      <c r="W398" s="670"/>
    </row>
    <row r="399" spans="1:23" ht="12.75" customHeight="1" x14ac:dyDescent="0.25">
      <c r="A399" s="670"/>
      <c r="B399" s="670"/>
      <c r="C399" s="670"/>
      <c r="D399" s="670"/>
      <c r="E399" s="670"/>
      <c r="F399" s="670"/>
      <c r="G399" s="670"/>
      <c r="H399" s="670"/>
      <c r="I399" s="670"/>
      <c r="J399" s="670"/>
      <c r="K399" s="670"/>
      <c r="L399" s="670"/>
      <c r="M399" s="670"/>
      <c r="N399" s="670"/>
      <c r="O399" s="670"/>
      <c r="P399" s="670"/>
      <c r="Q399" s="670"/>
      <c r="R399" s="670"/>
      <c r="S399" s="670"/>
      <c r="T399" s="670"/>
      <c r="U399" s="670"/>
      <c r="V399" s="670"/>
      <c r="W399" s="670"/>
    </row>
    <row r="400" spans="1:23" ht="12.75" customHeight="1" x14ac:dyDescent="0.25">
      <c r="A400" s="670"/>
      <c r="B400" s="670"/>
      <c r="C400" s="670"/>
      <c r="D400" s="670"/>
      <c r="E400" s="670"/>
      <c r="F400" s="670"/>
      <c r="G400" s="670"/>
      <c r="H400" s="670"/>
      <c r="I400" s="670"/>
      <c r="J400" s="670"/>
      <c r="K400" s="670"/>
      <c r="L400" s="670"/>
      <c r="M400" s="670"/>
      <c r="N400" s="670"/>
      <c r="O400" s="670"/>
      <c r="P400" s="670"/>
      <c r="Q400" s="670"/>
      <c r="R400" s="670"/>
      <c r="S400" s="670"/>
      <c r="T400" s="670"/>
      <c r="U400" s="670"/>
      <c r="V400" s="670"/>
      <c r="W400" s="670"/>
    </row>
    <row r="401" spans="1:23" ht="12.75" customHeight="1" x14ac:dyDescent="0.25">
      <c r="A401" s="670"/>
      <c r="B401" s="670"/>
      <c r="C401" s="670"/>
      <c r="D401" s="670"/>
      <c r="E401" s="670"/>
      <c r="F401" s="670"/>
      <c r="G401" s="670"/>
      <c r="H401" s="670"/>
      <c r="I401" s="670"/>
      <c r="J401" s="670"/>
      <c r="K401" s="670"/>
      <c r="L401" s="670"/>
      <c r="M401" s="670"/>
      <c r="N401" s="670"/>
      <c r="O401" s="670"/>
      <c r="P401" s="670"/>
      <c r="Q401" s="670"/>
      <c r="R401" s="670"/>
      <c r="S401" s="670"/>
      <c r="T401" s="670"/>
      <c r="U401" s="670"/>
      <c r="V401" s="670"/>
      <c r="W401" s="670"/>
    </row>
    <row r="402" spans="1:23" ht="12.75" customHeight="1" x14ac:dyDescent="0.25">
      <c r="A402" s="670"/>
      <c r="B402" s="670"/>
      <c r="C402" s="670"/>
      <c r="D402" s="670"/>
      <c r="E402" s="670"/>
      <c r="F402" s="670"/>
      <c r="G402" s="670"/>
      <c r="H402" s="670"/>
      <c r="I402" s="670"/>
      <c r="J402" s="670"/>
      <c r="K402" s="670"/>
      <c r="L402" s="670"/>
      <c r="M402" s="670"/>
      <c r="N402" s="670"/>
      <c r="O402" s="670"/>
      <c r="P402" s="670"/>
      <c r="Q402" s="670"/>
      <c r="R402" s="670"/>
      <c r="S402" s="670"/>
      <c r="T402" s="670"/>
      <c r="U402" s="670"/>
      <c r="V402" s="670"/>
      <c r="W402" s="670"/>
    </row>
    <row r="403" spans="1:23" ht="12.75" customHeight="1" x14ac:dyDescent="0.25">
      <c r="A403" s="670"/>
      <c r="B403" s="670"/>
      <c r="C403" s="670"/>
      <c r="D403" s="670"/>
      <c r="E403" s="670"/>
      <c r="F403" s="670"/>
      <c r="G403" s="670"/>
      <c r="H403" s="670"/>
      <c r="I403" s="670"/>
      <c r="J403" s="670"/>
      <c r="K403" s="670"/>
      <c r="L403" s="670"/>
      <c r="M403" s="670"/>
      <c r="N403" s="670"/>
      <c r="O403" s="670"/>
      <c r="P403" s="670"/>
      <c r="Q403" s="670"/>
      <c r="R403" s="670"/>
      <c r="S403" s="670"/>
      <c r="T403" s="670"/>
      <c r="U403" s="670"/>
      <c r="V403" s="670"/>
      <c r="W403" s="670"/>
    </row>
    <row r="404" spans="1:23" ht="12.75" customHeight="1" x14ac:dyDescent="0.25">
      <c r="A404" s="670"/>
      <c r="B404" s="670"/>
      <c r="C404" s="670"/>
      <c r="D404" s="670"/>
      <c r="E404" s="670"/>
      <c r="F404" s="670"/>
      <c r="G404" s="670"/>
      <c r="H404" s="670"/>
      <c r="I404" s="670"/>
      <c r="J404" s="670"/>
      <c r="K404" s="670"/>
      <c r="L404" s="670"/>
      <c r="M404" s="670"/>
      <c r="N404" s="670"/>
      <c r="O404" s="670"/>
      <c r="P404" s="670"/>
      <c r="Q404" s="670"/>
      <c r="R404" s="670"/>
      <c r="S404" s="670"/>
      <c r="T404" s="670"/>
      <c r="U404" s="670"/>
      <c r="V404" s="670"/>
      <c r="W404" s="670"/>
    </row>
    <row r="405" spans="1:23" ht="12.75" customHeight="1" x14ac:dyDescent="0.25">
      <c r="A405" s="670"/>
      <c r="B405" s="670"/>
      <c r="C405" s="670"/>
      <c r="D405" s="670"/>
      <c r="E405" s="670"/>
      <c r="F405" s="670"/>
      <c r="G405" s="670"/>
      <c r="H405" s="670"/>
      <c r="I405" s="670"/>
      <c r="J405" s="670"/>
      <c r="K405" s="670"/>
      <c r="L405" s="670"/>
      <c r="M405" s="670"/>
      <c r="N405" s="670"/>
      <c r="O405" s="670"/>
      <c r="P405" s="670"/>
      <c r="Q405" s="670"/>
      <c r="R405" s="670"/>
      <c r="S405" s="670"/>
      <c r="T405" s="670"/>
      <c r="U405" s="670"/>
      <c r="V405" s="670"/>
      <c r="W405" s="670"/>
    </row>
    <row r="406" spans="1:23" ht="12.75" customHeight="1" x14ac:dyDescent="0.25">
      <c r="A406" s="670"/>
      <c r="B406" s="670"/>
      <c r="C406" s="670"/>
      <c r="D406" s="670"/>
      <c r="E406" s="670"/>
      <c r="F406" s="670"/>
      <c r="G406" s="670"/>
      <c r="H406" s="670"/>
      <c r="I406" s="670"/>
      <c r="J406" s="670"/>
      <c r="K406" s="670"/>
      <c r="L406" s="670"/>
      <c r="M406" s="670"/>
      <c r="N406" s="670"/>
      <c r="O406" s="670"/>
      <c r="P406" s="670"/>
      <c r="Q406" s="670"/>
      <c r="R406" s="670"/>
      <c r="S406" s="670"/>
      <c r="T406" s="670"/>
      <c r="U406" s="670"/>
      <c r="V406" s="670"/>
      <c r="W406" s="670"/>
    </row>
    <row r="407" spans="1:23" ht="12.75" customHeight="1" x14ac:dyDescent="0.25">
      <c r="A407" s="670"/>
      <c r="B407" s="670"/>
      <c r="C407" s="670"/>
      <c r="D407" s="670"/>
      <c r="E407" s="670"/>
      <c r="F407" s="670"/>
      <c r="G407" s="670"/>
      <c r="H407" s="670"/>
      <c r="I407" s="670"/>
      <c r="J407" s="670"/>
      <c r="K407" s="670"/>
      <c r="L407" s="670"/>
      <c r="M407" s="670"/>
      <c r="N407" s="670"/>
      <c r="O407" s="670"/>
      <c r="P407" s="670"/>
      <c r="Q407" s="670"/>
      <c r="R407" s="670"/>
      <c r="S407" s="670"/>
      <c r="T407" s="670"/>
      <c r="U407" s="670"/>
      <c r="V407" s="670"/>
      <c r="W407" s="670"/>
    </row>
    <row r="408" spans="1:23" ht="12.75" customHeight="1" x14ac:dyDescent="0.25">
      <c r="A408" s="670"/>
      <c r="B408" s="670"/>
      <c r="C408" s="670"/>
      <c r="D408" s="670"/>
      <c r="E408" s="670"/>
      <c r="F408" s="670"/>
      <c r="G408" s="670"/>
      <c r="H408" s="670"/>
      <c r="I408" s="670"/>
      <c r="J408" s="670"/>
      <c r="K408" s="670"/>
      <c r="L408" s="670"/>
      <c r="M408" s="670"/>
      <c r="N408" s="670"/>
      <c r="O408" s="670"/>
      <c r="P408" s="670"/>
      <c r="Q408" s="670"/>
      <c r="R408" s="670"/>
      <c r="S408" s="670"/>
      <c r="T408" s="670"/>
      <c r="U408" s="670"/>
      <c r="V408" s="670"/>
      <c r="W408" s="670"/>
    </row>
    <row r="409" spans="1:23" ht="12.75" customHeight="1" x14ac:dyDescent="0.25">
      <c r="A409" s="670"/>
      <c r="B409" s="670"/>
      <c r="C409" s="670"/>
      <c r="D409" s="670"/>
      <c r="E409" s="670"/>
      <c r="F409" s="670"/>
      <c r="G409" s="670"/>
      <c r="H409" s="670"/>
      <c r="I409" s="670"/>
      <c r="J409" s="670"/>
      <c r="K409" s="670"/>
      <c r="L409" s="670"/>
      <c r="M409" s="670"/>
      <c r="N409" s="670"/>
      <c r="O409" s="670"/>
      <c r="P409" s="670"/>
      <c r="Q409" s="670"/>
      <c r="R409" s="670"/>
      <c r="S409" s="670"/>
      <c r="T409" s="670"/>
      <c r="U409" s="670"/>
      <c r="V409" s="670"/>
      <c r="W409" s="670"/>
    </row>
    <row r="410" spans="1:23" ht="12.75" customHeight="1" x14ac:dyDescent="0.25">
      <c r="A410" s="670"/>
      <c r="B410" s="670"/>
      <c r="C410" s="670"/>
      <c r="D410" s="670"/>
      <c r="E410" s="670"/>
      <c r="F410" s="670"/>
      <c r="G410" s="670"/>
      <c r="H410" s="670"/>
      <c r="I410" s="670"/>
      <c r="J410" s="670"/>
      <c r="K410" s="670"/>
      <c r="L410" s="670"/>
      <c r="M410" s="670"/>
      <c r="N410" s="670"/>
      <c r="O410" s="670"/>
      <c r="P410" s="670"/>
      <c r="Q410" s="670"/>
      <c r="R410" s="670"/>
      <c r="S410" s="670"/>
      <c r="T410" s="670"/>
      <c r="U410" s="670"/>
      <c r="V410" s="670"/>
      <c r="W410" s="670"/>
    </row>
    <row r="411" spans="1:23" ht="12.75" customHeight="1" x14ac:dyDescent="0.25">
      <c r="A411" s="670"/>
      <c r="B411" s="670"/>
      <c r="C411" s="670"/>
      <c r="D411" s="670"/>
      <c r="E411" s="670"/>
      <c r="F411" s="670"/>
      <c r="G411" s="670"/>
      <c r="H411" s="670"/>
      <c r="I411" s="670"/>
      <c r="J411" s="670"/>
      <c r="K411" s="670"/>
      <c r="L411" s="670"/>
      <c r="M411" s="670"/>
      <c r="N411" s="670"/>
      <c r="O411" s="670"/>
      <c r="P411" s="670"/>
      <c r="Q411" s="670"/>
      <c r="R411" s="670"/>
      <c r="S411" s="670"/>
      <c r="T411" s="670"/>
      <c r="U411" s="670"/>
      <c r="V411" s="670"/>
      <c r="W411" s="670"/>
    </row>
    <row r="412" spans="1:23" ht="12.75" customHeight="1" x14ac:dyDescent="0.25">
      <c r="A412" s="670"/>
      <c r="B412" s="670"/>
      <c r="C412" s="670"/>
      <c r="D412" s="670"/>
      <c r="E412" s="670"/>
      <c r="F412" s="670"/>
      <c r="G412" s="670"/>
      <c r="H412" s="670"/>
      <c r="I412" s="670"/>
      <c r="J412" s="670"/>
      <c r="K412" s="670"/>
      <c r="L412" s="670"/>
      <c r="M412" s="670"/>
      <c r="N412" s="670"/>
      <c r="O412" s="670"/>
      <c r="P412" s="670"/>
      <c r="Q412" s="670"/>
      <c r="R412" s="670"/>
      <c r="S412" s="670"/>
      <c r="T412" s="670"/>
      <c r="U412" s="670"/>
      <c r="V412" s="670"/>
      <c r="W412" s="670"/>
    </row>
    <row r="413" spans="1:23" ht="12.75" customHeight="1" x14ac:dyDescent="0.25">
      <c r="A413" s="670"/>
      <c r="B413" s="670"/>
      <c r="C413" s="670"/>
      <c r="D413" s="670"/>
      <c r="E413" s="670"/>
      <c r="F413" s="670"/>
      <c r="G413" s="670"/>
      <c r="H413" s="670"/>
      <c r="I413" s="670"/>
      <c r="J413" s="670"/>
      <c r="K413" s="670"/>
      <c r="L413" s="670"/>
      <c r="M413" s="670"/>
      <c r="N413" s="670"/>
      <c r="O413" s="670"/>
      <c r="P413" s="670"/>
      <c r="Q413" s="670"/>
      <c r="R413" s="670"/>
      <c r="S413" s="670"/>
      <c r="T413" s="670"/>
      <c r="U413" s="670"/>
      <c r="V413" s="670"/>
      <c r="W413" s="670"/>
    </row>
    <row r="414" spans="1:23" ht="12.75" customHeight="1" x14ac:dyDescent="0.25">
      <c r="A414" s="670"/>
      <c r="B414" s="670"/>
      <c r="C414" s="670"/>
      <c r="D414" s="670"/>
      <c r="E414" s="670"/>
      <c r="F414" s="670"/>
      <c r="G414" s="670"/>
      <c r="H414" s="670"/>
      <c r="I414" s="670"/>
      <c r="J414" s="670"/>
      <c r="K414" s="670"/>
      <c r="L414" s="670"/>
      <c r="M414" s="670"/>
      <c r="N414" s="670"/>
      <c r="O414" s="670"/>
      <c r="P414" s="670"/>
      <c r="Q414" s="670"/>
      <c r="R414" s="670"/>
      <c r="S414" s="670"/>
      <c r="T414" s="670"/>
      <c r="U414" s="670"/>
      <c r="V414" s="670"/>
      <c r="W414" s="670"/>
    </row>
    <row r="415" spans="1:23" ht="12.75" customHeight="1" x14ac:dyDescent="0.25">
      <c r="A415" s="670"/>
      <c r="B415" s="670"/>
      <c r="C415" s="670"/>
      <c r="D415" s="670"/>
      <c r="E415" s="670"/>
      <c r="F415" s="670"/>
      <c r="G415" s="670"/>
      <c r="H415" s="670"/>
      <c r="I415" s="670"/>
      <c r="J415" s="670"/>
      <c r="K415" s="670"/>
      <c r="L415" s="670"/>
      <c r="M415" s="670"/>
      <c r="N415" s="670"/>
      <c r="O415" s="670"/>
      <c r="P415" s="670"/>
      <c r="Q415" s="670"/>
      <c r="R415" s="670"/>
      <c r="S415" s="670"/>
      <c r="T415" s="670"/>
      <c r="U415" s="670"/>
      <c r="V415" s="670"/>
      <c r="W415" s="670"/>
    </row>
    <row r="416" spans="1:23" ht="12.75" customHeight="1" x14ac:dyDescent="0.25">
      <c r="A416" s="670"/>
      <c r="B416" s="670"/>
      <c r="C416" s="670"/>
      <c r="D416" s="670"/>
      <c r="E416" s="670"/>
      <c r="F416" s="670"/>
      <c r="G416" s="670"/>
      <c r="H416" s="670"/>
      <c r="I416" s="670"/>
      <c r="J416" s="670"/>
      <c r="K416" s="670"/>
      <c r="L416" s="670"/>
      <c r="M416" s="670"/>
      <c r="N416" s="670"/>
      <c r="O416" s="670"/>
      <c r="P416" s="670"/>
      <c r="Q416" s="670"/>
      <c r="R416" s="670"/>
      <c r="S416" s="670"/>
      <c r="T416" s="670"/>
      <c r="U416" s="670"/>
      <c r="V416" s="670"/>
      <c r="W416" s="670"/>
    </row>
    <row r="417" spans="1:23" ht="12.75" customHeight="1" x14ac:dyDescent="0.25">
      <c r="A417" s="670"/>
      <c r="B417" s="670"/>
      <c r="C417" s="670"/>
      <c r="D417" s="670"/>
      <c r="E417" s="670"/>
      <c r="F417" s="670"/>
      <c r="G417" s="670"/>
      <c r="H417" s="670"/>
      <c r="I417" s="670"/>
      <c r="J417" s="670"/>
      <c r="K417" s="670"/>
      <c r="L417" s="670"/>
      <c r="M417" s="670"/>
      <c r="N417" s="670"/>
      <c r="O417" s="670"/>
      <c r="P417" s="670"/>
      <c r="Q417" s="670"/>
      <c r="R417" s="670"/>
      <c r="S417" s="670"/>
      <c r="T417" s="670"/>
      <c r="U417" s="670"/>
      <c r="V417" s="670"/>
      <c r="W417" s="670"/>
    </row>
    <row r="418" spans="1:23" ht="12.75" customHeight="1" x14ac:dyDescent="0.25">
      <c r="A418" s="670"/>
      <c r="B418" s="670"/>
      <c r="C418" s="670"/>
      <c r="D418" s="670"/>
      <c r="E418" s="670"/>
      <c r="F418" s="670"/>
      <c r="G418" s="670"/>
      <c r="H418" s="670"/>
      <c r="I418" s="670"/>
      <c r="J418" s="670"/>
      <c r="K418" s="670"/>
      <c r="L418" s="670"/>
      <c r="M418" s="670"/>
      <c r="N418" s="670"/>
      <c r="O418" s="670"/>
      <c r="P418" s="670"/>
      <c r="Q418" s="670"/>
      <c r="R418" s="670"/>
      <c r="S418" s="670"/>
      <c r="T418" s="670"/>
      <c r="U418" s="670"/>
      <c r="V418" s="670"/>
      <c r="W418" s="670"/>
    </row>
    <row r="419" spans="1:23" ht="12.75" customHeight="1" x14ac:dyDescent="0.25">
      <c r="A419" s="670"/>
      <c r="B419" s="670"/>
      <c r="C419" s="670"/>
      <c r="D419" s="670"/>
      <c r="E419" s="670"/>
      <c r="F419" s="670"/>
      <c r="G419" s="670"/>
      <c r="H419" s="670"/>
      <c r="I419" s="670"/>
      <c r="J419" s="670"/>
      <c r="K419" s="670"/>
      <c r="L419" s="670"/>
      <c r="M419" s="670"/>
      <c r="N419" s="670"/>
      <c r="O419" s="670"/>
      <c r="P419" s="670"/>
      <c r="Q419" s="670"/>
      <c r="R419" s="670"/>
      <c r="S419" s="670"/>
      <c r="T419" s="670"/>
      <c r="U419" s="670"/>
      <c r="V419" s="670"/>
      <c r="W419" s="670"/>
    </row>
    <row r="420" spans="1:23" ht="12.75" customHeight="1" x14ac:dyDescent="0.25">
      <c r="A420" s="670"/>
      <c r="B420" s="670"/>
      <c r="C420" s="670"/>
      <c r="D420" s="670"/>
      <c r="E420" s="670"/>
      <c r="F420" s="670"/>
      <c r="G420" s="670"/>
      <c r="H420" s="670"/>
      <c r="I420" s="670"/>
      <c r="J420" s="670"/>
      <c r="K420" s="670"/>
      <c r="L420" s="670"/>
      <c r="M420" s="670"/>
      <c r="N420" s="670"/>
      <c r="O420" s="670"/>
      <c r="P420" s="670"/>
      <c r="Q420" s="670"/>
      <c r="R420" s="670"/>
      <c r="S420" s="670"/>
      <c r="T420" s="670"/>
      <c r="U420" s="670"/>
      <c r="V420" s="670"/>
      <c r="W420" s="670"/>
    </row>
    <row r="421" spans="1:23" ht="12.75" customHeight="1" x14ac:dyDescent="0.25">
      <c r="A421" s="670"/>
      <c r="B421" s="670"/>
      <c r="C421" s="670"/>
      <c r="D421" s="670"/>
      <c r="E421" s="670"/>
      <c r="F421" s="670"/>
      <c r="G421" s="670"/>
      <c r="H421" s="670"/>
      <c r="I421" s="670"/>
      <c r="J421" s="670"/>
      <c r="K421" s="670"/>
      <c r="L421" s="670"/>
      <c r="M421" s="670"/>
      <c r="N421" s="670"/>
      <c r="O421" s="670"/>
      <c r="P421" s="670"/>
      <c r="Q421" s="670"/>
      <c r="R421" s="670"/>
      <c r="S421" s="670"/>
      <c r="T421" s="670"/>
      <c r="U421" s="670"/>
      <c r="V421" s="670"/>
      <c r="W421" s="670"/>
    </row>
    <row r="422" spans="1:23" ht="12.75" customHeight="1" x14ac:dyDescent="0.25">
      <c r="A422" s="670"/>
      <c r="B422" s="670"/>
      <c r="C422" s="670"/>
      <c r="D422" s="670"/>
      <c r="E422" s="670"/>
      <c r="F422" s="670"/>
      <c r="G422" s="670"/>
      <c r="H422" s="670"/>
      <c r="I422" s="670"/>
      <c r="J422" s="670"/>
      <c r="K422" s="670"/>
      <c r="L422" s="670"/>
      <c r="M422" s="670"/>
      <c r="N422" s="670"/>
      <c r="O422" s="670"/>
      <c r="P422" s="670"/>
      <c r="Q422" s="670"/>
      <c r="R422" s="670"/>
      <c r="S422" s="670"/>
      <c r="T422" s="670"/>
      <c r="U422" s="670"/>
      <c r="V422" s="670"/>
      <c r="W422" s="670"/>
    </row>
    <row r="423" spans="1:23" ht="12.75" customHeight="1" x14ac:dyDescent="0.25">
      <c r="A423" s="670"/>
      <c r="B423" s="670"/>
      <c r="C423" s="670"/>
      <c r="D423" s="670"/>
      <c r="E423" s="670"/>
      <c r="F423" s="670"/>
      <c r="G423" s="670"/>
      <c r="H423" s="670"/>
      <c r="I423" s="670"/>
      <c r="J423" s="670"/>
      <c r="K423" s="670"/>
      <c r="L423" s="670"/>
      <c r="M423" s="670"/>
      <c r="N423" s="670"/>
      <c r="O423" s="670"/>
      <c r="P423" s="670"/>
      <c r="Q423" s="670"/>
      <c r="R423" s="670"/>
      <c r="S423" s="670"/>
      <c r="T423" s="670"/>
      <c r="U423" s="670"/>
      <c r="V423" s="670"/>
      <c r="W423" s="670"/>
    </row>
    <row r="424" spans="1:23" ht="12.75" customHeight="1" x14ac:dyDescent="0.25">
      <c r="A424" s="670"/>
      <c r="B424" s="670"/>
      <c r="C424" s="670"/>
      <c r="D424" s="670"/>
      <c r="E424" s="670"/>
      <c r="F424" s="670"/>
      <c r="G424" s="670"/>
      <c r="H424" s="670"/>
      <c r="I424" s="670"/>
      <c r="J424" s="670"/>
      <c r="K424" s="670"/>
      <c r="L424" s="670"/>
      <c r="M424" s="670"/>
      <c r="N424" s="670"/>
      <c r="O424" s="670"/>
      <c r="P424" s="670"/>
      <c r="Q424" s="670"/>
      <c r="R424" s="670"/>
      <c r="S424" s="670"/>
      <c r="T424" s="670"/>
      <c r="U424" s="670"/>
      <c r="V424" s="670"/>
      <c r="W424" s="670"/>
    </row>
    <row r="425" spans="1:23" ht="12.75" customHeight="1" x14ac:dyDescent="0.25">
      <c r="A425" s="670"/>
      <c r="B425" s="670"/>
      <c r="C425" s="670"/>
      <c r="D425" s="670"/>
      <c r="E425" s="670"/>
      <c r="F425" s="670"/>
      <c r="G425" s="670"/>
      <c r="H425" s="670"/>
      <c r="I425" s="670"/>
      <c r="J425" s="670"/>
      <c r="K425" s="670"/>
      <c r="L425" s="670"/>
      <c r="M425" s="670"/>
      <c r="N425" s="670"/>
      <c r="O425" s="670"/>
      <c r="P425" s="670"/>
      <c r="Q425" s="670"/>
      <c r="R425" s="670"/>
      <c r="S425" s="670"/>
      <c r="T425" s="670"/>
      <c r="U425" s="670"/>
      <c r="V425" s="670"/>
      <c r="W425" s="670"/>
    </row>
    <row r="426" spans="1:23" ht="12.75" customHeight="1" x14ac:dyDescent="0.25">
      <c r="A426" s="670"/>
      <c r="B426" s="670"/>
      <c r="C426" s="670"/>
      <c r="D426" s="670"/>
      <c r="E426" s="670"/>
      <c r="F426" s="670"/>
      <c r="G426" s="670"/>
      <c r="H426" s="670"/>
      <c r="I426" s="670"/>
      <c r="J426" s="670"/>
      <c r="K426" s="670"/>
      <c r="L426" s="670"/>
      <c r="M426" s="670"/>
      <c r="N426" s="670"/>
      <c r="O426" s="670"/>
      <c r="P426" s="670"/>
      <c r="Q426" s="670"/>
      <c r="R426" s="670"/>
      <c r="S426" s="670"/>
      <c r="T426" s="670"/>
      <c r="U426" s="670"/>
      <c r="V426" s="670"/>
      <c r="W426" s="670"/>
    </row>
    <row r="427" spans="1:23" ht="12.75" customHeight="1" x14ac:dyDescent="0.25">
      <c r="A427" s="670"/>
      <c r="B427" s="670"/>
      <c r="C427" s="670"/>
      <c r="D427" s="670"/>
      <c r="E427" s="670"/>
      <c r="F427" s="670"/>
      <c r="G427" s="670"/>
      <c r="H427" s="670"/>
      <c r="I427" s="670"/>
      <c r="J427" s="670"/>
      <c r="K427" s="670"/>
      <c r="L427" s="670"/>
      <c r="M427" s="670"/>
      <c r="N427" s="670"/>
      <c r="O427" s="670"/>
      <c r="P427" s="670"/>
      <c r="Q427" s="670"/>
      <c r="R427" s="670"/>
      <c r="S427" s="670"/>
      <c r="T427" s="670"/>
      <c r="U427" s="670"/>
      <c r="V427" s="670"/>
      <c r="W427" s="670"/>
    </row>
    <row r="428" spans="1:23" ht="12.75" customHeight="1" x14ac:dyDescent="0.25">
      <c r="A428" s="670"/>
      <c r="B428" s="670"/>
      <c r="C428" s="670"/>
      <c r="D428" s="670"/>
      <c r="E428" s="670"/>
      <c r="F428" s="670"/>
      <c r="G428" s="670"/>
      <c r="H428" s="670"/>
      <c r="I428" s="670"/>
      <c r="J428" s="670"/>
      <c r="K428" s="670"/>
      <c r="L428" s="670"/>
      <c r="M428" s="670"/>
      <c r="N428" s="670"/>
      <c r="O428" s="670"/>
      <c r="P428" s="670"/>
      <c r="Q428" s="670"/>
      <c r="R428" s="670"/>
      <c r="S428" s="670"/>
      <c r="T428" s="670"/>
      <c r="U428" s="670"/>
      <c r="V428" s="670"/>
      <c r="W428" s="670"/>
    </row>
    <row r="429" spans="1:23" ht="12.75" customHeight="1" x14ac:dyDescent="0.25">
      <c r="A429" s="670"/>
      <c r="B429" s="670"/>
      <c r="C429" s="670"/>
      <c r="D429" s="670"/>
      <c r="E429" s="670"/>
      <c r="F429" s="670"/>
      <c r="G429" s="670"/>
      <c r="H429" s="670"/>
      <c r="I429" s="670"/>
      <c r="J429" s="670"/>
      <c r="K429" s="670"/>
      <c r="L429" s="670"/>
      <c r="M429" s="670"/>
      <c r="N429" s="670"/>
      <c r="O429" s="670"/>
      <c r="P429" s="670"/>
      <c r="Q429" s="670"/>
      <c r="R429" s="670"/>
      <c r="S429" s="670"/>
      <c r="T429" s="670"/>
      <c r="U429" s="670"/>
      <c r="V429" s="670"/>
      <c r="W429" s="670"/>
    </row>
    <row r="430" spans="1:23" ht="12.75" customHeight="1" x14ac:dyDescent="0.25">
      <c r="A430" s="670"/>
      <c r="B430" s="670"/>
      <c r="C430" s="670"/>
      <c r="D430" s="670"/>
      <c r="E430" s="670"/>
      <c r="F430" s="670"/>
      <c r="G430" s="670"/>
      <c r="H430" s="670"/>
      <c r="I430" s="670"/>
      <c r="J430" s="670"/>
      <c r="K430" s="670"/>
      <c r="L430" s="670"/>
      <c r="M430" s="670"/>
      <c r="N430" s="670"/>
      <c r="O430" s="670"/>
      <c r="P430" s="670"/>
      <c r="Q430" s="670"/>
      <c r="R430" s="670"/>
      <c r="S430" s="670"/>
      <c r="T430" s="670"/>
      <c r="U430" s="670"/>
      <c r="V430" s="670"/>
      <c r="W430" s="670"/>
    </row>
    <row r="431" spans="1:23" ht="12.75" customHeight="1" x14ac:dyDescent="0.25">
      <c r="A431" s="670"/>
      <c r="B431" s="670"/>
      <c r="C431" s="670"/>
      <c r="D431" s="670"/>
      <c r="E431" s="670"/>
      <c r="F431" s="670"/>
      <c r="G431" s="670"/>
      <c r="H431" s="670"/>
      <c r="I431" s="670"/>
      <c r="J431" s="670"/>
      <c r="K431" s="670"/>
      <c r="L431" s="670"/>
      <c r="M431" s="670"/>
      <c r="N431" s="670"/>
      <c r="O431" s="670"/>
      <c r="P431" s="670"/>
      <c r="Q431" s="670"/>
      <c r="R431" s="670"/>
      <c r="S431" s="670"/>
      <c r="T431" s="670"/>
      <c r="U431" s="670"/>
      <c r="V431" s="670"/>
      <c r="W431" s="670"/>
    </row>
    <row r="432" spans="1:23" ht="12.75" customHeight="1" x14ac:dyDescent="0.25">
      <c r="A432" s="670"/>
      <c r="B432" s="670"/>
      <c r="C432" s="670"/>
      <c r="D432" s="670"/>
      <c r="E432" s="670"/>
      <c r="F432" s="670"/>
      <c r="G432" s="670"/>
      <c r="H432" s="670"/>
      <c r="I432" s="670"/>
      <c r="J432" s="670"/>
      <c r="K432" s="670"/>
      <c r="L432" s="670"/>
      <c r="M432" s="670"/>
      <c r="N432" s="670"/>
      <c r="O432" s="670"/>
      <c r="P432" s="670"/>
      <c r="Q432" s="670"/>
      <c r="R432" s="670"/>
      <c r="S432" s="670"/>
      <c r="T432" s="670"/>
      <c r="U432" s="670"/>
      <c r="V432" s="670"/>
      <c r="W432" s="670"/>
    </row>
    <row r="433" spans="1:23" ht="12.75" customHeight="1" x14ac:dyDescent="0.25">
      <c r="A433" s="670"/>
      <c r="B433" s="670"/>
      <c r="C433" s="670"/>
      <c r="D433" s="670"/>
      <c r="E433" s="670"/>
      <c r="F433" s="670"/>
      <c r="G433" s="670"/>
      <c r="H433" s="670"/>
      <c r="I433" s="670"/>
      <c r="J433" s="670"/>
      <c r="K433" s="670"/>
      <c r="L433" s="670"/>
      <c r="M433" s="670"/>
      <c r="N433" s="670"/>
      <c r="O433" s="670"/>
      <c r="P433" s="670"/>
      <c r="Q433" s="670"/>
      <c r="R433" s="670"/>
      <c r="S433" s="670"/>
      <c r="T433" s="670"/>
      <c r="U433" s="670"/>
      <c r="V433" s="670"/>
      <c r="W433" s="670"/>
    </row>
    <row r="434" spans="1:23" ht="12.75" customHeight="1" x14ac:dyDescent="0.25">
      <c r="A434" s="670"/>
      <c r="B434" s="670"/>
      <c r="C434" s="670"/>
      <c r="D434" s="670"/>
      <c r="E434" s="670"/>
      <c r="F434" s="670"/>
      <c r="G434" s="670"/>
      <c r="H434" s="670"/>
      <c r="I434" s="670"/>
      <c r="J434" s="670"/>
      <c r="K434" s="670"/>
      <c r="L434" s="670"/>
      <c r="M434" s="670"/>
      <c r="N434" s="670"/>
      <c r="O434" s="670"/>
      <c r="P434" s="670"/>
      <c r="Q434" s="670"/>
      <c r="R434" s="670"/>
      <c r="S434" s="670"/>
      <c r="T434" s="670"/>
      <c r="U434" s="670"/>
      <c r="V434" s="670"/>
      <c r="W434" s="670"/>
    </row>
    <row r="435" spans="1:23" ht="12.75" customHeight="1" x14ac:dyDescent="0.25">
      <c r="A435" s="670"/>
      <c r="B435" s="670"/>
      <c r="C435" s="670"/>
      <c r="D435" s="670"/>
      <c r="E435" s="670"/>
      <c r="F435" s="670"/>
      <c r="G435" s="670"/>
      <c r="H435" s="670"/>
      <c r="I435" s="670"/>
      <c r="J435" s="670"/>
      <c r="K435" s="670"/>
      <c r="L435" s="670"/>
      <c r="M435" s="670"/>
      <c r="N435" s="670"/>
      <c r="O435" s="670"/>
      <c r="P435" s="670"/>
      <c r="Q435" s="670"/>
      <c r="R435" s="670"/>
      <c r="S435" s="670"/>
      <c r="T435" s="670"/>
      <c r="U435" s="670"/>
      <c r="V435" s="670"/>
      <c r="W435" s="670"/>
    </row>
    <row r="436" spans="1:23" ht="12.75" customHeight="1" x14ac:dyDescent="0.25">
      <c r="A436" s="670"/>
      <c r="B436" s="670"/>
      <c r="C436" s="670"/>
      <c r="D436" s="670"/>
      <c r="E436" s="670"/>
      <c r="F436" s="670"/>
      <c r="G436" s="670"/>
      <c r="H436" s="670"/>
      <c r="I436" s="670"/>
      <c r="J436" s="670"/>
      <c r="K436" s="670"/>
      <c r="L436" s="670"/>
      <c r="M436" s="670"/>
      <c r="N436" s="670"/>
      <c r="O436" s="670"/>
      <c r="P436" s="670"/>
      <c r="Q436" s="670"/>
      <c r="R436" s="670"/>
      <c r="S436" s="670"/>
      <c r="T436" s="670"/>
      <c r="U436" s="670"/>
      <c r="V436" s="670"/>
      <c r="W436" s="670"/>
    </row>
    <row r="437" spans="1:23" ht="12.75" customHeight="1" x14ac:dyDescent="0.25">
      <c r="A437" s="670"/>
      <c r="B437" s="670"/>
      <c r="C437" s="670"/>
      <c r="D437" s="670"/>
      <c r="E437" s="670"/>
      <c r="F437" s="670"/>
      <c r="G437" s="670"/>
      <c r="H437" s="670"/>
      <c r="I437" s="670"/>
      <c r="J437" s="670"/>
      <c r="K437" s="670"/>
      <c r="L437" s="670"/>
      <c r="M437" s="670"/>
      <c r="N437" s="670"/>
      <c r="O437" s="670"/>
      <c r="P437" s="670"/>
      <c r="Q437" s="670"/>
      <c r="R437" s="670"/>
      <c r="S437" s="670"/>
      <c r="T437" s="670"/>
      <c r="U437" s="670"/>
      <c r="V437" s="670"/>
      <c r="W437" s="670"/>
    </row>
    <row r="438" spans="1:23" ht="12.75" customHeight="1" x14ac:dyDescent="0.25">
      <c r="A438" s="670"/>
      <c r="B438" s="670"/>
      <c r="C438" s="670"/>
      <c r="D438" s="670"/>
      <c r="E438" s="670"/>
      <c r="F438" s="670"/>
      <c r="G438" s="670"/>
      <c r="H438" s="670"/>
      <c r="I438" s="670"/>
      <c r="J438" s="670"/>
      <c r="K438" s="670"/>
      <c r="L438" s="670"/>
      <c r="M438" s="670"/>
      <c r="N438" s="670"/>
      <c r="O438" s="670"/>
      <c r="P438" s="670"/>
      <c r="Q438" s="670"/>
      <c r="R438" s="670"/>
      <c r="S438" s="670"/>
      <c r="T438" s="670"/>
      <c r="U438" s="670"/>
      <c r="V438" s="670"/>
      <c r="W438" s="670"/>
    </row>
    <row r="439" spans="1:23" ht="12.75" customHeight="1" x14ac:dyDescent="0.25">
      <c r="A439" s="670"/>
      <c r="B439" s="670"/>
      <c r="C439" s="670"/>
      <c r="D439" s="670"/>
      <c r="E439" s="670"/>
      <c r="F439" s="670"/>
      <c r="G439" s="670"/>
      <c r="H439" s="670"/>
      <c r="I439" s="670"/>
      <c r="J439" s="670"/>
      <c r="K439" s="670"/>
      <c r="L439" s="670"/>
      <c r="M439" s="670"/>
      <c r="N439" s="670"/>
      <c r="O439" s="670"/>
      <c r="P439" s="670"/>
      <c r="Q439" s="670"/>
      <c r="R439" s="670"/>
      <c r="S439" s="670"/>
      <c r="T439" s="670"/>
      <c r="U439" s="670"/>
      <c r="V439" s="670"/>
      <c r="W439" s="670"/>
    </row>
    <row r="440" spans="1:23" ht="12.75" customHeight="1" x14ac:dyDescent="0.25">
      <c r="A440" s="670"/>
      <c r="B440" s="670"/>
      <c r="C440" s="670"/>
      <c r="D440" s="670"/>
      <c r="E440" s="670"/>
      <c r="F440" s="670"/>
      <c r="G440" s="670"/>
      <c r="H440" s="670"/>
      <c r="I440" s="670"/>
      <c r="J440" s="670"/>
      <c r="K440" s="670"/>
      <c r="L440" s="670"/>
      <c r="M440" s="670"/>
      <c r="N440" s="670"/>
      <c r="O440" s="670"/>
      <c r="P440" s="670"/>
      <c r="Q440" s="670"/>
      <c r="R440" s="670"/>
      <c r="S440" s="670"/>
      <c r="T440" s="670"/>
      <c r="U440" s="670"/>
      <c r="V440" s="670"/>
      <c r="W440" s="670"/>
    </row>
    <row r="441" spans="1:23" ht="12.75" customHeight="1" x14ac:dyDescent="0.25">
      <c r="A441" s="670"/>
      <c r="B441" s="670"/>
      <c r="C441" s="670"/>
      <c r="D441" s="670"/>
      <c r="E441" s="670"/>
      <c r="F441" s="670"/>
      <c r="G441" s="670"/>
      <c r="H441" s="670"/>
      <c r="I441" s="670"/>
      <c r="J441" s="670"/>
      <c r="K441" s="670"/>
      <c r="L441" s="670"/>
      <c r="M441" s="670"/>
      <c r="N441" s="670"/>
      <c r="O441" s="670"/>
      <c r="P441" s="670"/>
      <c r="Q441" s="670"/>
      <c r="R441" s="670"/>
      <c r="S441" s="670"/>
      <c r="T441" s="670"/>
      <c r="U441" s="670"/>
      <c r="V441" s="670"/>
      <c r="W441" s="670"/>
    </row>
    <row r="442" spans="1:23" ht="12.75" customHeight="1" x14ac:dyDescent="0.25">
      <c r="A442" s="670"/>
      <c r="B442" s="670"/>
      <c r="C442" s="670"/>
      <c r="D442" s="670"/>
      <c r="E442" s="670"/>
      <c r="F442" s="670"/>
      <c r="G442" s="670"/>
      <c r="H442" s="670"/>
      <c r="I442" s="670"/>
      <c r="J442" s="670"/>
      <c r="K442" s="670"/>
      <c r="L442" s="670"/>
      <c r="M442" s="670"/>
      <c r="N442" s="670"/>
      <c r="O442" s="670"/>
      <c r="P442" s="670"/>
      <c r="Q442" s="670"/>
      <c r="R442" s="670"/>
      <c r="S442" s="670"/>
      <c r="T442" s="670"/>
      <c r="U442" s="670"/>
      <c r="V442" s="670"/>
      <c r="W442" s="670"/>
    </row>
    <row r="443" spans="1:23" ht="12.75" customHeight="1" x14ac:dyDescent="0.25">
      <c r="A443" s="670"/>
      <c r="B443" s="670"/>
      <c r="C443" s="670"/>
      <c r="D443" s="670"/>
      <c r="E443" s="670"/>
      <c r="F443" s="670"/>
      <c r="G443" s="670"/>
      <c r="H443" s="670"/>
      <c r="I443" s="670"/>
      <c r="J443" s="670"/>
      <c r="K443" s="670"/>
      <c r="L443" s="670"/>
      <c r="M443" s="670"/>
      <c r="N443" s="670"/>
      <c r="O443" s="670"/>
      <c r="P443" s="670"/>
      <c r="Q443" s="670"/>
      <c r="R443" s="670"/>
      <c r="S443" s="670"/>
      <c r="T443" s="670"/>
      <c r="U443" s="670"/>
      <c r="V443" s="670"/>
      <c r="W443" s="670"/>
    </row>
    <row r="444" spans="1:23" ht="12.75" customHeight="1" x14ac:dyDescent="0.25">
      <c r="A444" s="670"/>
      <c r="B444" s="670"/>
      <c r="C444" s="670"/>
      <c r="D444" s="670"/>
      <c r="E444" s="670"/>
      <c r="F444" s="670"/>
      <c r="G444" s="670"/>
      <c r="H444" s="670"/>
      <c r="I444" s="670"/>
      <c r="J444" s="670"/>
      <c r="K444" s="670"/>
      <c r="L444" s="670"/>
      <c r="M444" s="670"/>
      <c r="N444" s="670"/>
      <c r="O444" s="670"/>
      <c r="P444" s="670"/>
      <c r="Q444" s="670"/>
      <c r="R444" s="670"/>
      <c r="S444" s="670"/>
      <c r="T444" s="670"/>
      <c r="U444" s="670"/>
      <c r="V444" s="670"/>
      <c r="W444" s="670"/>
    </row>
    <row r="445" spans="1:23" ht="12.75" customHeight="1" x14ac:dyDescent="0.25">
      <c r="A445" s="670"/>
      <c r="B445" s="670"/>
      <c r="C445" s="670"/>
      <c r="D445" s="670"/>
      <c r="E445" s="670"/>
      <c r="F445" s="670"/>
      <c r="G445" s="670"/>
      <c r="H445" s="670"/>
      <c r="I445" s="670"/>
      <c r="J445" s="670"/>
      <c r="K445" s="670"/>
      <c r="L445" s="670"/>
      <c r="M445" s="670"/>
      <c r="N445" s="670"/>
      <c r="O445" s="670"/>
      <c r="P445" s="670"/>
      <c r="Q445" s="670"/>
      <c r="R445" s="670"/>
      <c r="S445" s="670"/>
      <c r="T445" s="670"/>
      <c r="U445" s="670"/>
      <c r="V445" s="670"/>
      <c r="W445" s="670"/>
    </row>
    <row r="446" spans="1:23" ht="12.75" customHeight="1" x14ac:dyDescent="0.25">
      <c r="A446" s="670"/>
      <c r="B446" s="670"/>
      <c r="C446" s="670"/>
      <c r="D446" s="670"/>
      <c r="E446" s="670"/>
      <c r="F446" s="670"/>
      <c r="G446" s="670"/>
      <c r="H446" s="670"/>
      <c r="I446" s="670"/>
      <c r="J446" s="670"/>
      <c r="K446" s="670"/>
      <c r="L446" s="670"/>
      <c r="M446" s="670"/>
      <c r="N446" s="670"/>
      <c r="O446" s="670"/>
      <c r="P446" s="670"/>
      <c r="Q446" s="670"/>
      <c r="R446" s="670"/>
      <c r="S446" s="670"/>
      <c r="T446" s="670"/>
      <c r="U446" s="670"/>
      <c r="V446" s="670"/>
      <c r="W446" s="670"/>
    </row>
    <row r="447" spans="1:23" ht="12.75" customHeight="1" x14ac:dyDescent="0.25">
      <c r="A447" s="670"/>
      <c r="B447" s="670"/>
      <c r="C447" s="670"/>
      <c r="D447" s="670"/>
      <c r="E447" s="670"/>
      <c r="F447" s="670"/>
      <c r="G447" s="670"/>
      <c r="H447" s="670"/>
      <c r="I447" s="670"/>
      <c r="J447" s="670"/>
      <c r="K447" s="670"/>
      <c r="L447" s="670"/>
      <c r="M447" s="670"/>
      <c r="N447" s="670"/>
      <c r="O447" s="670"/>
      <c r="P447" s="670"/>
      <c r="Q447" s="670"/>
      <c r="R447" s="670"/>
      <c r="S447" s="670"/>
      <c r="T447" s="670"/>
      <c r="U447" s="670"/>
      <c r="V447" s="670"/>
      <c r="W447" s="670"/>
    </row>
    <row r="448" spans="1:23" ht="12.75" customHeight="1" x14ac:dyDescent="0.25">
      <c r="A448" s="670"/>
      <c r="B448" s="670"/>
      <c r="C448" s="670"/>
      <c r="D448" s="670"/>
      <c r="E448" s="670"/>
      <c r="F448" s="670"/>
      <c r="G448" s="670"/>
      <c r="H448" s="670"/>
      <c r="I448" s="670"/>
      <c r="J448" s="670"/>
      <c r="K448" s="670"/>
      <c r="L448" s="670"/>
      <c r="M448" s="670"/>
      <c r="N448" s="670"/>
      <c r="O448" s="670"/>
      <c r="P448" s="670"/>
      <c r="Q448" s="670"/>
      <c r="R448" s="670"/>
      <c r="S448" s="670"/>
      <c r="T448" s="670"/>
      <c r="U448" s="670"/>
      <c r="V448" s="670"/>
      <c r="W448" s="670"/>
    </row>
    <row r="449" spans="1:23" ht="12.75" customHeight="1" x14ac:dyDescent="0.25">
      <c r="A449" s="670"/>
      <c r="B449" s="670"/>
      <c r="C449" s="670"/>
      <c r="D449" s="670"/>
      <c r="E449" s="670"/>
      <c r="F449" s="670"/>
      <c r="G449" s="670"/>
      <c r="H449" s="670"/>
      <c r="I449" s="670"/>
      <c r="J449" s="670"/>
      <c r="K449" s="670"/>
      <c r="L449" s="670"/>
      <c r="M449" s="670"/>
      <c r="N449" s="670"/>
      <c r="O449" s="670"/>
      <c r="P449" s="670"/>
      <c r="Q449" s="670"/>
      <c r="R449" s="670"/>
      <c r="S449" s="670"/>
      <c r="T449" s="670"/>
      <c r="U449" s="670"/>
      <c r="V449" s="670"/>
      <c r="W449" s="670"/>
    </row>
    <row r="450" spans="1:23" ht="12.75" customHeight="1" x14ac:dyDescent="0.25">
      <c r="A450" s="670"/>
      <c r="B450" s="670"/>
      <c r="C450" s="670"/>
      <c r="D450" s="670"/>
      <c r="E450" s="670"/>
      <c r="F450" s="670"/>
      <c r="G450" s="670"/>
      <c r="H450" s="670"/>
      <c r="I450" s="670"/>
      <c r="J450" s="670"/>
      <c r="K450" s="670"/>
      <c r="L450" s="670"/>
      <c r="M450" s="670"/>
      <c r="N450" s="670"/>
      <c r="O450" s="670"/>
      <c r="P450" s="670"/>
      <c r="Q450" s="670"/>
      <c r="R450" s="670"/>
      <c r="S450" s="670"/>
      <c r="T450" s="670"/>
      <c r="U450" s="670"/>
      <c r="V450" s="670"/>
      <c r="W450" s="670"/>
    </row>
    <row r="451" spans="1:23" ht="12.75" customHeight="1" x14ac:dyDescent="0.25">
      <c r="A451" s="670"/>
      <c r="B451" s="670"/>
      <c r="C451" s="670"/>
      <c r="D451" s="670"/>
      <c r="E451" s="670"/>
      <c r="F451" s="670"/>
      <c r="G451" s="670"/>
      <c r="H451" s="670"/>
      <c r="I451" s="670"/>
      <c r="J451" s="670"/>
      <c r="K451" s="670"/>
      <c r="L451" s="670"/>
      <c r="M451" s="670"/>
      <c r="N451" s="670"/>
      <c r="O451" s="670"/>
      <c r="P451" s="670"/>
      <c r="Q451" s="670"/>
      <c r="R451" s="670"/>
      <c r="S451" s="670"/>
      <c r="T451" s="670"/>
      <c r="U451" s="670"/>
      <c r="V451" s="670"/>
      <c r="W451" s="670"/>
    </row>
    <row r="452" spans="1:23" ht="12.75" customHeight="1" x14ac:dyDescent="0.25">
      <c r="A452" s="670"/>
      <c r="B452" s="670"/>
      <c r="C452" s="670"/>
      <c r="D452" s="670"/>
      <c r="E452" s="670"/>
      <c r="F452" s="670"/>
      <c r="G452" s="670"/>
      <c r="H452" s="670"/>
      <c r="I452" s="670"/>
      <c r="J452" s="670"/>
      <c r="K452" s="670"/>
      <c r="L452" s="670"/>
      <c r="M452" s="670"/>
      <c r="N452" s="670"/>
      <c r="O452" s="670"/>
      <c r="P452" s="670"/>
      <c r="Q452" s="670"/>
      <c r="R452" s="670"/>
      <c r="S452" s="670"/>
      <c r="T452" s="670"/>
      <c r="U452" s="670"/>
      <c r="V452" s="670"/>
      <c r="W452" s="670"/>
    </row>
    <row r="453" spans="1:23" ht="12.75" customHeight="1" x14ac:dyDescent="0.25">
      <c r="A453" s="670"/>
      <c r="B453" s="670"/>
      <c r="C453" s="670"/>
      <c r="D453" s="670"/>
      <c r="E453" s="670"/>
      <c r="F453" s="670"/>
      <c r="G453" s="670"/>
      <c r="H453" s="670"/>
      <c r="I453" s="670"/>
      <c r="J453" s="670"/>
      <c r="K453" s="670"/>
      <c r="L453" s="670"/>
      <c r="M453" s="670"/>
      <c r="N453" s="670"/>
      <c r="O453" s="670"/>
      <c r="P453" s="670"/>
      <c r="Q453" s="670"/>
      <c r="R453" s="670"/>
      <c r="S453" s="670"/>
      <c r="T453" s="670"/>
      <c r="U453" s="670"/>
      <c r="V453" s="670"/>
      <c r="W453" s="670"/>
    </row>
    <row r="454" spans="1:23" ht="12.75" customHeight="1" x14ac:dyDescent="0.25">
      <c r="A454" s="670"/>
      <c r="B454" s="670"/>
      <c r="C454" s="670"/>
      <c r="D454" s="670"/>
      <c r="E454" s="670"/>
      <c r="F454" s="670"/>
      <c r="G454" s="670"/>
      <c r="H454" s="670"/>
      <c r="I454" s="670"/>
      <c r="J454" s="670"/>
      <c r="K454" s="670"/>
      <c r="L454" s="670"/>
      <c r="M454" s="670"/>
      <c r="N454" s="670"/>
      <c r="O454" s="670"/>
      <c r="P454" s="670"/>
      <c r="Q454" s="670"/>
      <c r="R454" s="670"/>
      <c r="S454" s="670"/>
      <c r="T454" s="670"/>
      <c r="U454" s="670"/>
      <c r="V454" s="670"/>
      <c r="W454" s="670"/>
    </row>
    <row r="455" spans="1:23" ht="12.75" customHeight="1" x14ac:dyDescent="0.25">
      <c r="A455" s="670"/>
      <c r="B455" s="670"/>
      <c r="C455" s="670"/>
      <c r="D455" s="670"/>
      <c r="E455" s="670"/>
      <c r="F455" s="670"/>
      <c r="G455" s="670"/>
      <c r="H455" s="670"/>
      <c r="I455" s="670"/>
      <c r="J455" s="670"/>
      <c r="K455" s="670"/>
      <c r="L455" s="670"/>
      <c r="M455" s="670"/>
      <c r="N455" s="670"/>
      <c r="O455" s="670"/>
      <c r="P455" s="670"/>
      <c r="Q455" s="670"/>
      <c r="R455" s="670"/>
      <c r="S455" s="670"/>
      <c r="T455" s="670"/>
      <c r="U455" s="670"/>
      <c r="V455" s="670"/>
      <c r="W455" s="670"/>
    </row>
    <row r="456" spans="1:23" ht="12.75" customHeight="1" x14ac:dyDescent="0.25">
      <c r="A456" s="670"/>
      <c r="B456" s="670"/>
      <c r="C456" s="670"/>
      <c r="D456" s="670"/>
      <c r="E456" s="670"/>
      <c r="F456" s="670"/>
      <c r="G456" s="670"/>
      <c r="H456" s="670"/>
      <c r="I456" s="670"/>
      <c r="J456" s="670"/>
      <c r="K456" s="670"/>
      <c r="L456" s="670"/>
      <c r="M456" s="670"/>
      <c r="N456" s="670"/>
      <c r="O456" s="670"/>
      <c r="P456" s="670"/>
      <c r="Q456" s="670"/>
      <c r="R456" s="670"/>
      <c r="S456" s="670"/>
      <c r="T456" s="670"/>
      <c r="U456" s="670"/>
      <c r="V456" s="670"/>
      <c r="W456" s="670"/>
    </row>
    <row r="457" spans="1:23" ht="12.75" customHeight="1" x14ac:dyDescent="0.25">
      <c r="A457" s="670"/>
      <c r="B457" s="670"/>
      <c r="C457" s="670"/>
      <c r="D457" s="670"/>
      <c r="E457" s="670"/>
      <c r="F457" s="670"/>
      <c r="G457" s="670"/>
      <c r="H457" s="670"/>
      <c r="I457" s="670"/>
      <c r="J457" s="670"/>
      <c r="K457" s="670"/>
      <c r="L457" s="670"/>
      <c r="M457" s="670"/>
      <c r="N457" s="670"/>
      <c r="O457" s="670"/>
      <c r="P457" s="670"/>
      <c r="Q457" s="670"/>
      <c r="R457" s="670"/>
      <c r="S457" s="670"/>
      <c r="T457" s="670"/>
      <c r="U457" s="670"/>
      <c r="V457" s="670"/>
      <c r="W457" s="670"/>
    </row>
    <row r="458" spans="1:23" ht="12.75" customHeight="1" x14ac:dyDescent="0.25">
      <c r="A458" s="670"/>
      <c r="B458" s="670"/>
      <c r="C458" s="670"/>
      <c r="D458" s="670"/>
      <c r="E458" s="670"/>
      <c r="F458" s="670"/>
      <c r="G458" s="670"/>
      <c r="H458" s="670"/>
      <c r="I458" s="670"/>
      <c r="J458" s="670"/>
      <c r="K458" s="670"/>
      <c r="L458" s="670"/>
      <c r="M458" s="670"/>
      <c r="N458" s="670"/>
      <c r="O458" s="670"/>
      <c r="P458" s="670"/>
      <c r="Q458" s="670"/>
      <c r="R458" s="670"/>
      <c r="S458" s="670"/>
      <c r="T458" s="670"/>
      <c r="U458" s="670"/>
      <c r="V458" s="670"/>
      <c r="W458" s="670"/>
    </row>
    <row r="459" spans="1:23" ht="12.75" customHeight="1" x14ac:dyDescent="0.25">
      <c r="A459" s="670"/>
      <c r="B459" s="670"/>
      <c r="C459" s="670"/>
      <c r="D459" s="670"/>
      <c r="E459" s="670"/>
      <c r="F459" s="670"/>
      <c r="G459" s="670"/>
      <c r="H459" s="670"/>
      <c r="I459" s="670"/>
      <c r="J459" s="670"/>
      <c r="K459" s="670"/>
      <c r="L459" s="670"/>
      <c r="M459" s="670"/>
      <c r="N459" s="670"/>
      <c r="O459" s="670"/>
      <c r="P459" s="670"/>
      <c r="Q459" s="670"/>
      <c r="R459" s="670"/>
      <c r="S459" s="670"/>
      <c r="T459" s="670"/>
      <c r="U459" s="670"/>
      <c r="V459" s="670"/>
      <c r="W459" s="670"/>
    </row>
    <row r="460" spans="1:23" ht="12.75" customHeight="1" x14ac:dyDescent="0.25">
      <c r="A460" s="670"/>
      <c r="B460" s="670"/>
      <c r="C460" s="670"/>
      <c r="D460" s="670"/>
      <c r="E460" s="670"/>
      <c r="F460" s="670"/>
      <c r="G460" s="670"/>
      <c r="H460" s="670"/>
      <c r="I460" s="670"/>
      <c r="J460" s="670"/>
      <c r="K460" s="670"/>
      <c r="L460" s="670"/>
      <c r="M460" s="670"/>
      <c r="N460" s="670"/>
      <c r="O460" s="670"/>
      <c r="P460" s="670"/>
      <c r="Q460" s="670"/>
      <c r="R460" s="670"/>
      <c r="S460" s="670"/>
      <c r="T460" s="670"/>
      <c r="U460" s="670"/>
      <c r="V460" s="670"/>
      <c r="W460" s="670"/>
    </row>
    <row r="461" spans="1:23" ht="12.75" customHeight="1" x14ac:dyDescent="0.25">
      <c r="A461" s="670"/>
      <c r="B461" s="670"/>
      <c r="C461" s="670"/>
      <c r="D461" s="670"/>
      <c r="E461" s="670"/>
      <c r="F461" s="670"/>
      <c r="G461" s="670"/>
      <c r="H461" s="670"/>
      <c r="I461" s="670"/>
      <c r="J461" s="670"/>
      <c r="K461" s="670"/>
      <c r="L461" s="670"/>
      <c r="M461" s="670"/>
      <c r="N461" s="670"/>
      <c r="O461" s="670"/>
      <c r="P461" s="670"/>
      <c r="Q461" s="670"/>
      <c r="R461" s="670"/>
      <c r="S461" s="670"/>
      <c r="T461" s="670"/>
      <c r="U461" s="670"/>
      <c r="V461" s="670"/>
      <c r="W461" s="670"/>
    </row>
    <row r="462" spans="1:23" ht="12.75" customHeight="1" x14ac:dyDescent="0.25">
      <c r="A462" s="670"/>
      <c r="B462" s="670"/>
      <c r="C462" s="670"/>
      <c r="D462" s="670"/>
      <c r="E462" s="670"/>
      <c r="F462" s="670"/>
      <c r="G462" s="670"/>
      <c r="H462" s="670"/>
      <c r="I462" s="670"/>
      <c r="J462" s="670"/>
      <c r="K462" s="670"/>
      <c r="L462" s="670"/>
      <c r="M462" s="670"/>
      <c r="N462" s="670"/>
      <c r="O462" s="670"/>
      <c r="P462" s="670"/>
      <c r="Q462" s="670"/>
      <c r="R462" s="670"/>
      <c r="S462" s="670"/>
      <c r="T462" s="670"/>
      <c r="U462" s="670"/>
      <c r="V462" s="670"/>
      <c r="W462" s="670"/>
    </row>
    <row r="463" spans="1:23" ht="12.75" customHeight="1" x14ac:dyDescent="0.25">
      <c r="A463" s="670"/>
      <c r="B463" s="670"/>
      <c r="C463" s="670"/>
      <c r="D463" s="670"/>
      <c r="E463" s="670"/>
      <c r="F463" s="670"/>
      <c r="G463" s="670"/>
      <c r="H463" s="670"/>
      <c r="I463" s="670"/>
      <c r="J463" s="670"/>
      <c r="K463" s="670"/>
      <c r="L463" s="670"/>
      <c r="M463" s="670"/>
      <c r="N463" s="670"/>
      <c r="O463" s="670"/>
      <c r="P463" s="670"/>
      <c r="Q463" s="670"/>
      <c r="R463" s="670"/>
      <c r="S463" s="670"/>
      <c r="T463" s="670"/>
      <c r="U463" s="670"/>
      <c r="V463" s="670"/>
      <c r="W463" s="670"/>
    </row>
    <row r="464" spans="1:23" ht="12.75" customHeight="1" x14ac:dyDescent="0.25">
      <c r="A464" s="670"/>
      <c r="B464" s="670"/>
      <c r="C464" s="670"/>
      <c r="D464" s="670"/>
      <c r="E464" s="670"/>
      <c r="F464" s="670"/>
      <c r="G464" s="670"/>
      <c r="H464" s="670"/>
      <c r="I464" s="670"/>
      <c r="J464" s="670"/>
      <c r="K464" s="670"/>
      <c r="L464" s="670"/>
      <c r="M464" s="670"/>
      <c r="N464" s="670"/>
      <c r="O464" s="670"/>
      <c r="P464" s="670"/>
      <c r="Q464" s="670"/>
      <c r="R464" s="670"/>
      <c r="S464" s="670"/>
      <c r="T464" s="670"/>
      <c r="U464" s="670"/>
      <c r="V464" s="670"/>
      <c r="W464" s="670"/>
    </row>
    <row r="465" spans="1:23" ht="12.75" customHeight="1" x14ac:dyDescent="0.25">
      <c r="A465" s="670"/>
      <c r="B465" s="670"/>
      <c r="C465" s="670"/>
      <c r="D465" s="670"/>
      <c r="E465" s="670"/>
      <c r="F465" s="670"/>
      <c r="G465" s="670"/>
      <c r="H465" s="670"/>
      <c r="I465" s="670"/>
      <c r="J465" s="670"/>
      <c r="K465" s="670"/>
      <c r="L465" s="670"/>
      <c r="M465" s="670"/>
      <c r="N465" s="670"/>
      <c r="O465" s="670"/>
      <c r="P465" s="670"/>
      <c r="Q465" s="670"/>
      <c r="R465" s="670"/>
      <c r="S465" s="670"/>
      <c r="T465" s="670"/>
      <c r="U465" s="670"/>
      <c r="V465" s="670"/>
      <c r="W465" s="670"/>
    </row>
    <row r="466" spans="1:23" ht="12.75" customHeight="1" x14ac:dyDescent="0.25">
      <c r="A466" s="670"/>
      <c r="B466" s="670"/>
      <c r="C466" s="670"/>
      <c r="D466" s="670"/>
      <c r="E466" s="670"/>
      <c r="F466" s="670"/>
      <c r="G466" s="670"/>
      <c r="H466" s="670"/>
      <c r="I466" s="670"/>
      <c r="J466" s="670"/>
      <c r="K466" s="670"/>
      <c r="L466" s="670"/>
      <c r="M466" s="670"/>
      <c r="N466" s="670"/>
      <c r="O466" s="670"/>
      <c r="P466" s="670"/>
      <c r="Q466" s="670"/>
      <c r="R466" s="670"/>
      <c r="S466" s="670"/>
      <c r="T466" s="670"/>
      <c r="U466" s="670"/>
      <c r="V466" s="670"/>
      <c r="W466" s="670"/>
    </row>
    <row r="467" spans="1:23" ht="12.75" customHeight="1" x14ac:dyDescent="0.25">
      <c r="A467" s="670"/>
      <c r="B467" s="670"/>
      <c r="C467" s="670"/>
      <c r="D467" s="670"/>
      <c r="E467" s="670"/>
      <c r="F467" s="670"/>
      <c r="G467" s="670"/>
      <c r="H467" s="670"/>
      <c r="I467" s="670"/>
      <c r="J467" s="670"/>
      <c r="K467" s="670"/>
      <c r="L467" s="670"/>
      <c r="M467" s="670"/>
      <c r="N467" s="670"/>
      <c r="O467" s="670"/>
      <c r="P467" s="670"/>
      <c r="Q467" s="670"/>
      <c r="R467" s="670"/>
      <c r="S467" s="670"/>
      <c r="T467" s="670"/>
      <c r="U467" s="670"/>
      <c r="V467" s="670"/>
      <c r="W467" s="670"/>
    </row>
    <row r="468" spans="1:23" ht="12.75" customHeight="1" x14ac:dyDescent="0.25">
      <c r="A468" s="670"/>
      <c r="B468" s="670"/>
      <c r="C468" s="670"/>
      <c r="D468" s="670"/>
      <c r="E468" s="670"/>
      <c r="F468" s="670"/>
      <c r="G468" s="670"/>
      <c r="H468" s="670"/>
      <c r="I468" s="670"/>
      <c r="J468" s="670"/>
      <c r="K468" s="670"/>
      <c r="L468" s="670"/>
      <c r="M468" s="670"/>
      <c r="N468" s="670"/>
      <c r="O468" s="670"/>
      <c r="P468" s="670"/>
      <c r="Q468" s="670"/>
      <c r="R468" s="670"/>
      <c r="S468" s="670"/>
      <c r="T468" s="670"/>
      <c r="U468" s="670"/>
      <c r="V468" s="670"/>
      <c r="W468" s="670"/>
    </row>
    <row r="469" spans="1:23" ht="12.75" customHeight="1" x14ac:dyDescent="0.25">
      <c r="A469" s="670"/>
      <c r="B469" s="670"/>
      <c r="C469" s="670"/>
      <c r="D469" s="670"/>
      <c r="E469" s="670"/>
      <c r="F469" s="670"/>
      <c r="G469" s="670"/>
      <c r="H469" s="670"/>
      <c r="I469" s="670"/>
      <c r="J469" s="670"/>
      <c r="K469" s="670"/>
      <c r="L469" s="670"/>
      <c r="M469" s="670"/>
      <c r="N469" s="670"/>
      <c r="O469" s="670"/>
      <c r="P469" s="670"/>
      <c r="Q469" s="670"/>
      <c r="R469" s="670"/>
      <c r="S469" s="670"/>
      <c r="T469" s="670"/>
      <c r="U469" s="670"/>
      <c r="V469" s="670"/>
      <c r="W469" s="670"/>
    </row>
    <row r="470" spans="1:23" ht="12.75" customHeight="1" x14ac:dyDescent="0.25">
      <c r="A470" s="670"/>
      <c r="B470" s="670"/>
      <c r="C470" s="670"/>
      <c r="D470" s="670"/>
      <c r="E470" s="670"/>
      <c r="F470" s="670"/>
      <c r="G470" s="670"/>
      <c r="H470" s="670"/>
      <c r="I470" s="670"/>
      <c r="J470" s="670"/>
      <c r="K470" s="670"/>
      <c r="L470" s="670"/>
      <c r="M470" s="670"/>
      <c r="N470" s="670"/>
      <c r="O470" s="670"/>
      <c r="P470" s="670"/>
      <c r="Q470" s="670"/>
      <c r="R470" s="670"/>
      <c r="S470" s="670"/>
      <c r="T470" s="670"/>
      <c r="U470" s="670"/>
      <c r="V470" s="670"/>
      <c r="W470" s="670"/>
    </row>
    <row r="471" spans="1:23" ht="12.75" customHeight="1" x14ac:dyDescent="0.25">
      <c r="A471" s="670"/>
      <c r="B471" s="670"/>
      <c r="C471" s="670"/>
      <c r="D471" s="670"/>
      <c r="E471" s="670"/>
      <c r="F471" s="670"/>
      <c r="G471" s="670"/>
      <c r="H471" s="670"/>
      <c r="I471" s="670"/>
      <c r="J471" s="670"/>
      <c r="K471" s="670"/>
      <c r="L471" s="670"/>
      <c r="M471" s="670"/>
      <c r="N471" s="670"/>
      <c r="O471" s="670"/>
      <c r="P471" s="670"/>
      <c r="Q471" s="670"/>
      <c r="R471" s="670"/>
      <c r="S471" s="670"/>
      <c r="T471" s="670"/>
      <c r="U471" s="670"/>
      <c r="V471" s="670"/>
      <c r="W471" s="670"/>
    </row>
    <row r="472" spans="1:23" ht="12.75" customHeight="1" x14ac:dyDescent="0.25">
      <c r="A472" s="670"/>
      <c r="B472" s="670"/>
      <c r="C472" s="670"/>
      <c r="D472" s="670"/>
      <c r="E472" s="670"/>
      <c r="F472" s="670"/>
      <c r="G472" s="670"/>
      <c r="H472" s="670"/>
      <c r="I472" s="670"/>
      <c r="J472" s="670"/>
      <c r="K472" s="670"/>
      <c r="L472" s="670"/>
      <c r="M472" s="670"/>
      <c r="N472" s="670"/>
      <c r="O472" s="670"/>
      <c r="P472" s="670"/>
      <c r="Q472" s="670"/>
      <c r="R472" s="670"/>
      <c r="S472" s="670"/>
      <c r="T472" s="670"/>
      <c r="U472" s="670"/>
      <c r="V472" s="670"/>
      <c r="W472" s="670"/>
    </row>
    <row r="473" spans="1:23" ht="12.75" customHeight="1" x14ac:dyDescent="0.25">
      <c r="A473" s="670"/>
      <c r="B473" s="670"/>
      <c r="C473" s="670"/>
      <c r="D473" s="670"/>
      <c r="E473" s="670"/>
      <c r="F473" s="670"/>
      <c r="G473" s="670"/>
      <c r="H473" s="670"/>
      <c r="I473" s="670"/>
      <c r="J473" s="670"/>
      <c r="K473" s="670"/>
      <c r="L473" s="670"/>
      <c r="M473" s="670"/>
      <c r="N473" s="670"/>
      <c r="O473" s="670"/>
      <c r="P473" s="670"/>
      <c r="Q473" s="670"/>
      <c r="R473" s="670"/>
      <c r="S473" s="670"/>
      <c r="T473" s="670"/>
      <c r="U473" s="670"/>
      <c r="V473" s="670"/>
      <c r="W473" s="670"/>
    </row>
    <row r="474" spans="1:23" ht="12.75" customHeight="1" x14ac:dyDescent="0.25">
      <c r="A474" s="670"/>
      <c r="B474" s="670"/>
      <c r="C474" s="670"/>
      <c r="D474" s="670"/>
      <c r="E474" s="670"/>
      <c r="F474" s="670"/>
      <c r="G474" s="670"/>
      <c r="H474" s="670"/>
      <c r="I474" s="670"/>
      <c r="J474" s="670"/>
      <c r="K474" s="670"/>
      <c r="L474" s="670"/>
      <c r="M474" s="670"/>
      <c r="N474" s="670"/>
      <c r="O474" s="670"/>
      <c r="P474" s="670"/>
      <c r="Q474" s="670"/>
      <c r="R474" s="670"/>
      <c r="S474" s="670"/>
      <c r="T474" s="670"/>
      <c r="U474" s="670"/>
      <c r="V474" s="670"/>
      <c r="W474" s="670"/>
    </row>
    <row r="475" spans="1:23" ht="12.75" customHeight="1" x14ac:dyDescent="0.25">
      <c r="A475" s="670"/>
      <c r="B475" s="670"/>
      <c r="C475" s="670"/>
      <c r="D475" s="670"/>
      <c r="E475" s="670"/>
      <c r="F475" s="670"/>
      <c r="G475" s="670"/>
      <c r="H475" s="670"/>
      <c r="I475" s="670"/>
      <c r="J475" s="670"/>
      <c r="K475" s="670"/>
      <c r="L475" s="670"/>
      <c r="M475" s="670"/>
      <c r="N475" s="670"/>
      <c r="O475" s="670"/>
      <c r="P475" s="670"/>
      <c r="Q475" s="670"/>
      <c r="R475" s="670"/>
      <c r="S475" s="670"/>
      <c r="T475" s="670"/>
      <c r="U475" s="670"/>
      <c r="V475" s="670"/>
      <c r="W475" s="670"/>
    </row>
    <row r="476" spans="1:23" ht="12.75" customHeight="1" x14ac:dyDescent="0.25">
      <c r="A476" s="670"/>
      <c r="B476" s="670"/>
      <c r="C476" s="670"/>
      <c r="D476" s="670"/>
      <c r="E476" s="670"/>
      <c r="F476" s="670"/>
      <c r="G476" s="670"/>
      <c r="H476" s="670"/>
      <c r="I476" s="670"/>
      <c r="J476" s="670"/>
      <c r="K476" s="670"/>
      <c r="L476" s="670"/>
      <c r="M476" s="670"/>
      <c r="N476" s="670"/>
      <c r="O476" s="670"/>
      <c r="P476" s="670"/>
      <c r="Q476" s="670"/>
      <c r="R476" s="670"/>
      <c r="S476" s="670"/>
      <c r="T476" s="670"/>
      <c r="U476" s="670"/>
      <c r="V476" s="670"/>
      <c r="W476" s="670"/>
    </row>
    <row r="477" spans="1:23" ht="12.75" customHeight="1" x14ac:dyDescent="0.25">
      <c r="A477" s="670"/>
      <c r="B477" s="670"/>
      <c r="C477" s="670"/>
      <c r="D477" s="670"/>
      <c r="E477" s="670"/>
      <c r="F477" s="670"/>
      <c r="G477" s="670"/>
      <c r="H477" s="670"/>
      <c r="I477" s="670"/>
      <c r="J477" s="670"/>
      <c r="K477" s="670"/>
      <c r="L477" s="670"/>
      <c r="M477" s="670"/>
      <c r="N477" s="670"/>
      <c r="O477" s="670"/>
      <c r="P477" s="670"/>
      <c r="Q477" s="670"/>
      <c r="R477" s="670"/>
      <c r="S477" s="670"/>
      <c r="T477" s="670"/>
      <c r="U477" s="670"/>
      <c r="V477" s="670"/>
      <c r="W477" s="670"/>
    </row>
    <row r="478" spans="1:23" ht="12.75" customHeight="1" x14ac:dyDescent="0.25">
      <c r="A478" s="670"/>
      <c r="B478" s="670"/>
      <c r="C478" s="670"/>
      <c r="D478" s="670"/>
      <c r="E478" s="670"/>
      <c r="F478" s="670"/>
      <c r="G478" s="670"/>
      <c r="H478" s="670"/>
      <c r="I478" s="670"/>
      <c r="J478" s="670"/>
      <c r="K478" s="670"/>
      <c r="L478" s="670"/>
      <c r="M478" s="670"/>
      <c r="N478" s="670"/>
      <c r="O478" s="670"/>
      <c r="P478" s="670"/>
      <c r="Q478" s="670"/>
      <c r="R478" s="670"/>
      <c r="S478" s="670"/>
      <c r="T478" s="670"/>
      <c r="U478" s="670"/>
      <c r="V478" s="670"/>
      <c r="W478" s="670"/>
    </row>
    <row r="479" spans="1:23" ht="12.75" customHeight="1" x14ac:dyDescent="0.25">
      <c r="A479" s="670"/>
      <c r="B479" s="670"/>
      <c r="C479" s="670"/>
      <c r="D479" s="670"/>
      <c r="E479" s="670"/>
      <c r="F479" s="670"/>
      <c r="G479" s="670"/>
      <c r="H479" s="670"/>
      <c r="I479" s="670"/>
      <c r="J479" s="670"/>
      <c r="K479" s="670"/>
      <c r="L479" s="670"/>
      <c r="M479" s="670"/>
      <c r="N479" s="670"/>
      <c r="O479" s="670"/>
      <c r="P479" s="670"/>
      <c r="Q479" s="670"/>
      <c r="R479" s="670"/>
      <c r="S479" s="670"/>
      <c r="T479" s="670"/>
      <c r="U479" s="670"/>
      <c r="V479" s="670"/>
      <c r="W479" s="670"/>
    </row>
    <row r="480" spans="1:23" ht="12.75" customHeight="1" x14ac:dyDescent="0.25">
      <c r="A480" s="670"/>
      <c r="B480" s="670"/>
      <c r="C480" s="670"/>
      <c r="D480" s="670"/>
      <c r="E480" s="670"/>
      <c r="F480" s="670"/>
      <c r="G480" s="670"/>
      <c r="H480" s="670"/>
      <c r="I480" s="670"/>
      <c r="J480" s="670"/>
      <c r="K480" s="670"/>
      <c r="L480" s="670"/>
      <c r="M480" s="670"/>
      <c r="N480" s="670"/>
      <c r="O480" s="670"/>
      <c r="P480" s="670"/>
      <c r="Q480" s="670"/>
      <c r="R480" s="670"/>
      <c r="S480" s="670"/>
      <c r="T480" s="670"/>
      <c r="U480" s="670"/>
      <c r="V480" s="670"/>
      <c r="W480" s="670"/>
    </row>
    <row r="481" spans="1:23" ht="12.75" customHeight="1" x14ac:dyDescent="0.25">
      <c r="A481" s="670"/>
      <c r="B481" s="670"/>
      <c r="C481" s="670"/>
      <c r="D481" s="670"/>
      <c r="E481" s="670"/>
      <c r="F481" s="670"/>
      <c r="G481" s="670"/>
      <c r="H481" s="670"/>
      <c r="I481" s="670"/>
      <c r="J481" s="670"/>
      <c r="K481" s="670"/>
      <c r="L481" s="670"/>
      <c r="M481" s="670"/>
      <c r="N481" s="670"/>
      <c r="O481" s="670"/>
      <c r="P481" s="670"/>
      <c r="Q481" s="670"/>
      <c r="R481" s="670"/>
      <c r="S481" s="670"/>
      <c r="T481" s="670"/>
      <c r="U481" s="670"/>
      <c r="V481" s="670"/>
      <c r="W481" s="670"/>
    </row>
    <row r="482" spans="1:23" ht="12.75" customHeight="1" x14ac:dyDescent="0.25">
      <c r="A482" s="670"/>
      <c r="B482" s="670"/>
      <c r="C482" s="670"/>
      <c r="D482" s="670"/>
      <c r="E482" s="670"/>
      <c r="F482" s="670"/>
      <c r="G482" s="670"/>
      <c r="H482" s="670"/>
      <c r="I482" s="670"/>
      <c r="J482" s="670"/>
      <c r="K482" s="670"/>
      <c r="L482" s="670"/>
      <c r="M482" s="670"/>
      <c r="N482" s="670"/>
      <c r="O482" s="670"/>
      <c r="P482" s="670"/>
      <c r="Q482" s="670"/>
      <c r="R482" s="670"/>
      <c r="S482" s="670"/>
      <c r="T482" s="670"/>
      <c r="U482" s="670"/>
      <c r="V482" s="670"/>
      <c r="W482" s="670"/>
    </row>
    <row r="483" spans="1:23" ht="12.75" customHeight="1" x14ac:dyDescent="0.25">
      <c r="A483" s="670"/>
      <c r="B483" s="670"/>
      <c r="C483" s="670"/>
      <c r="D483" s="670"/>
      <c r="E483" s="670"/>
      <c r="F483" s="670"/>
      <c r="G483" s="670"/>
      <c r="H483" s="670"/>
      <c r="I483" s="670"/>
      <c r="J483" s="670"/>
      <c r="K483" s="670"/>
      <c r="L483" s="670"/>
      <c r="M483" s="670"/>
      <c r="N483" s="670"/>
      <c r="O483" s="670"/>
      <c r="P483" s="670"/>
      <c r="Q483" s="670"/>
      <c r="R483" s="670"/>
      <c r="S483" s="670"/>
      <c r="T483" s="670"/>
      <c r="U483" s="670"/>
      <c r="V483" s="670"/>
      <c r="W483" s="670"/>
    </row>
    <row r="484" spans="1:23" ht="12.75" customHeight="1" x14ac:dyDescent="0.25">
      <c r="A484" s="670"/>
      <c r="B484" s="670"/>
      <c r="C484" s="670"/>
      <c r="D484" s="670"/>
      <c r="E484" s="670"/>
      <c r="F484" s="670"/>
      <c r="G484" s="670"/>
      <c r="H484" s="670"/>
      <c r="I484" s="670"/>
      <c r="J484" s="670"/>
      <c r="K484" s="670"/>
      <c r="L484" s="670"/>
      <c r="M484" s="670"/>
      <c r="N484" s="670"/>
      <c r="O484" s="670"/>
      <c r="P484" s="670"/>
      <c r="Q484" s="670"/>
      <c r="R484" s="670"/>
      <c r="S484" s="670"/>
      <c r="T484" s="670"/>
      <c r="U484" s="670"/>
      <c r="V484" s="670"/>
      <c r="W484" s="670"/>
    </row>
    <row r="485" spans="1:23" ht="12.75" customHeight="1" x14ac:dyDescent="0.25">
      <c r="A485" s="670"/>
      <c r="B485" s="670"/>
      <c r="C485" s="670"/>
      <c r="D485" s="670"/>
      <c r="E485" s="670"/>
      <c r="F485" s="670"/>
      <c r="G485" s="670"/>
      <c r="H485" s="670"/>
      <c r="I485" s="670"/>
      <c r="J485" s="670"/>
      <c r="K485" s="670"/>
      <c r="L485" s="670"/>
      <c r="M485" s="670"/>
      <c r="N485" s="670"/>
      <c r="O485" s="670"/>
      <c r="P485" s="670"/>
      <c r="Q485" s="670"/>
      <c r="R485" s="670"/>
      <c r="S485" s="670"/>
      <c r="T485" s="670"/>
      <c r="U485" s="670"/>
      <c r="V485" s="670"/>
      <c r="W485" s="670"/>
    </row>
    <row r="486" spans="1:23" ht="12.75" customHeight="1" x14ac:dyDescent="0.25">
      <c r="A486" s="670"/>
      <c r="B486" s="670"/>
      <c r="C486" s="670"/>
      <c r="D486" s="670"/>
      <c r="E486" s="670"/>
      <c r="F486" s="670"/>
      <c r="G486" s="670"/>
      <c r="H486" s="670"/>
      <c r="I486" s="670"/>
      <c r="J486" s="670"/>
      <c r="K486" s="670"/>
      <c r="L486" s="670"/>
      <c r="M486" s="670"/>
      <c r="N486" s="670"/>
      <c r="O486" s="670"/>
      <c r="P486" s="670"/>
      <c r="Q486" s="670"/>
      <c r="R486" s="670"/>
      <c r="S486" s="670"/>
      <c r="T486" s="670"/>
      <c r="U486" s="670"/>
      <c r="V486" s="670"/>
      <c r="W486" s="670"/>
    </row>
    <row r="487" spans="1:23" ht="12.75" customHeight="1" x14ac:dyDescent="0.25">
      <c r="A487" s="670"/>
      <c r="B487" s="670"/>
      <c r="C487" s="670"/>
      <c r="D487" s="670"/>
      <c r="E487" s="670"/>
      <c r="F487" s="670"/>
      <c r="G487" s="670"/>
      <c r="H487" s="670"/>
      <c r="I487" s="670"/>
      <c r="J487" s="670"/>
      <c r="K487" s="670"/>
      <c r="L487" s="670"/>
      <c r="M487" s="670"/>
      <c r="N487" s="670"/>
      <c r="O487" s="670"/>
      <c r="P487" s="670"/>
      <c r="Q487" s="670"/>
      <c r="R487" s="670"/>
      <c r="S487" s="670"/>
      <c r="T487" s="670"/>
      <c r="U487" s="670"/>
      <c r="V487" s="670"/>
      <c r="W487" s="670"/>
    </row>
    <row r="488" spans="1:23" ht="12.75" customHeight="1" x14ac:dyDescent="0.25">
      <c r="A488" s="670"/>
      <c r="B488" s="670"/>
      <c r="C488" s="670"/>
      <c r="D488" s="670"/>
      <c r="E488" s="670"/>
      <c r="F488" s="670"/>
      <c r="G488" s="670"/>
      <c r="H488" s="670"/>
      <c r="I488" s="670"/>
      <c r="J488" s="670"/>
      <c r="K488" s="670"/>
      <c r="L488" s="670"/>
      <c r="M488" s="670"/>
      <c r="N488" s="670"/>
      <c r="O488" s="670"/>
      <c r="P488" s="670"/>
      <c r="Q488" s="670"/>
      <c r="R488" s="670"/>
      <c r="S488" s="670"/>
      <c r="T488" s="670"/>
      <c r="U488" s="670"/>
      <c r="V488" s="670"/>
      <c r="W488" s="670"/>
    </row>
    <row r="489" spans="1:23" ht="12.75" customHeight="1" x14ac:dyDescent="0.25">
      <c r="A489" s="670"/>
      <c r="B489" s="670"/>
      <c r="C489" s="670"/>
      <c r="D489" s="670"/>
      <c r="E489" s="670"/>
      <c r="F489" s="670"/>
      <c r="G489" s="670"/>
      <c r="H489" s="670"/>
      <c r="I489" s="670"/>
      <c r="J489" s="670"/>
      <c r="K489" s="670"/>
      <c r="L489" s="670"/>
      <c r="M489" s="670"/>
      <c r="N489" s="670"/>
      <c r="O489" s="670"/>
      <c r="P489" s="670"/>
      <c r="Q489" s="670"/>
      <c r="R489" s="670"/>
      <c r="S489" s="670"/>
      <c r="T489" s="670"/>
      <c r="U489" s="670"/>
      <c r="V489" s="670"/>
      <c r="W489" s="670"/>
    </row>
    <row r="490" spans="1:23" ht="12.75" customHeight="1" x14ac:dyDescent="0.25">
      <c r="A490" s="670"/>
      <c r="B490" s="670"/>
      <c r="C490" s="670"/>
      <c r="D490" s="670"/>
      <c r="E490" s="670"/>
      <c r="F490" s="670"/>
      <c r="G490" s="670"/>
      <c r="H490" s="670"/>
      <c r="I490" s="670"/>
      <c r="J490" s="670"/>
      <c r="K490" s="670"/>
      <c r="L490" s="670"/>
      <c r="M490" s="670"/>
      <c r="N490" s="670"/>
      <c r="O490" s="670"/>
      <c r="P490" s="670"/>
      <c r="Q490" s="670"/>
      <c r="R490" s="670"/>
      <c r="S490" s="670"/>
      <c r="T490" s="670"/>
      <c r="U490" s="670"/>
      <c r="V490" s="670"/>
      <c r="W490" s="670"/>
    </row>
    <row r="491" spans="1:23" ht="12.75" customHeight="1" x14ac:dyDescent="0.25">
      <c r="A491" s="670"/>
      <c r="B491" s="670"/>
      <c r="C491" s="670"/>
      <c r="D491" s="670"/>
      <c r="E491" s="670"/>
      <c r="F491" s="670"/>
      <c r="G491" s="670"/>
      <c r="H491" s="670"/>
      <c r="I491" s="670"/>
      <c r="J491" s="670"/>
      <c r="K491" s="670"/>
      <c r="L491" s="670"/>
      <c r="M491" s="670"/>
      <c r="N491" s="670"/>
      <c r="O491" s="670"/>
      <c r="P491" s="670"/>
      <c r="Q491" s="670"/>
      <c r="R491" s="670"/>
      <c r="S491" s="670"/>
      <c r="T491" s="670"/>
      <c r="U491" s="670"/>
      <c r="V491" s="670"/>
      <c r="W491" s="670"/>
    </row>
    <row r="492" spans="1:23" ht="12.75" customHeight="1" x14ac:dyDescent="0.25">
      <c r="A492" s="670"/>
      <c r="B492" s="670"/>
      <c r="C492" s="670"/>
      <c r="D492" s="670"/>
      <c r="E492" s="670"/>
      <c r="F492" s="670"/>
      <c r="G492" s="670"/>
      <c r="H492" s="670"/>
      <c r="I492" s="670"/>
      <c r="J492" s="670"/>
      <c r="K492" s="670"/>
      <c r="L492" s="670"/>
      <c r="M492" s="670"/>
      <c r="N492" s="670"/>
      <c r="O492" s="670"/>
      <c r="P492" s="670"/>
      <c r="Q492" s="670"/>
      <c r="R492" s="670"/>
      <c r="S492" s="670"/>
      <c r="T492" s="670"/>
      <c r="U492" s="670"/>
      <c r="V492" s="670"/>
      <c r="W492" s="670"/>
    </row>
    <row r="493" spans="1:23" ht="12.75" customHeight="1" x14ac:dyDescent="0.25">
      <c r="A493" s="670"/>
      <c r="B493" s="670"/>
      <c r="C493" s="670"/>
      <c r="D493" s="670"/>
      <c r="E493" s="670"/>
      <c r="F493" s="670"/>
      <c r="G493" s="670"/>
      <c r="H493" s="670"/>
      <c r="I493" s="670"/>
      <c r="J493" s="670"/>
      <c r="K493" s="670"/>
      <c r="L493" s="670"/>
      <c r="M493" s="670"/>
      <c r="N493" s="670"/>
      <c r="O493" s="670"/>
      <c r="P493" s="670"/>
      <c r="Q493" s="670"/>
      <c r="R493" s="670"/>
      <c r="S493" s="670"/>
      <c r="T493" s="670"/>
      <c r="U493" s="670"/>
      <c r="V493" s="670"/>
      <c r="W493" s="670"/>
    </row>
    <row r="494" spans="1:23" ht="12.75" customHeight="1" x14ac:dyDescent="0.25">
      <c r="A494" s="670"/>
      <c r="B494" s="670"/>
      <c r="C494" s="670"/>
      <c r="D494" s="670"/>
      <c r="E494" s="670"/>
      <c r="F494" s="670"/>
      <c r="G494" s="670"/>
      <c r="H494" s="670"/>
      <c r="I494" s="670"/>
      <c r="J494" s="670"/>
      <c r="K494" s="670"/>
      <c r="L494" s="670"/>
      <c r="M494" s="670"/>
      <c r="N494" s="670"/>
      <c r="O494" s="670"/>
      <c r="P494" s="670"/>
      <c r="Q494" s="670"/>
      <c r="R494" s="670"/>
      <c r="S494" s="670"/>
      <c r="T494" s="670"/>
      <c r="U494" s="670"/>
      <c r="V494" s="670"/>
      <c r="W494" s="670"/>
    </row>
    <row r="495" spans="1:23" ht="12.75" customHeight="1" x14ac:dyDescent="0.25">
      <c r="A495" s="670"/>
      <c r="B495" s="670"/>
      <c r="C495" s="670"/>
      <c r="D495" s="670"/>
      <c r="E495" s="670"/>
      <c r="F495" s="670"/>
      <c r="G495" s="670"/>
      <c r="H495" s="670"/>
      <c r="I495" s="670"/>
      <c r="J495" s="670"/>
      <c r="K495" s="670"/>
      <c r="L495" s="670"/>
      <c r="M495" s="670"/>
      <c r="N495" s="670"/>
      <c r="O495" s="670"/>
      <c r="P495" s="670"/>
      <c r="Q495" s="670"/>
      <c r="R495" s="670"/>
      <c r="S495" s="670"/>
      <c r="T495" s="670"/>
      <c r="U495" s="670"/>
      <c r="V495" s="670"/>
      <c r="W495" s="670"/>
    </row>
    <row r="496" spans="1:23" ht="12.75" customHeight="1" x14ac:dyDescent="0.25">
      <c r="A496" s="670"/>
      <c r="B496" s="670"/>
      <c r="C496" s="670"/>
      <c r="D496" s="670"/>
      <c r="E496" s="670"/>
      <c r="F496" s="670"/>
      <c r="G496" s="670"/>
      <c r="H496" s="670"/>
      <c r="I496" s="670"/>
      <c r="J496" s="670"/>
      <c r="K496" s="670"/>
      <c r="L496" s="670"/>
      <c r="M496" s="670"/>
      <c r="N496" s="670"/>
      <c r="O496" s="670"/>
      <c r="P496" s="670"/>
      <c r="Q496" s="670"/>
      <c r="R496" s="670"/>
      <c r="S496" s="670"/>
      <c r="T496" s="670"/>
      <c r="U496" s="670"/>
      <c r="V496" s="670"/>
      <c r="W496" s="670"/>
    </row>
    <row r="497" spans="1:23" ht="12.75" customHeight="1" x14ac:dyDescent="0.25">
      <c r="A497" s="670"/>
      <c r="B497" s="670"/>
      <c r="C497" s="670"/>
      <c r="D497" s="670"/>
      <c r="E497" s="670"/>
      <c r="F497" s="670"/>
      <c r="G497" s="670"/>
      <c r="H497" s="670"/>
      <c r="I497" s="670"/>
      <c r="J497" s="670"/>
      <c r="K497" s="670"/>
      <c r="L497" s="670"/>
      <c r="M497" s="670"/>
      <c r="N497" s="670"/>
      <c r="O497" s="670"/>
      <c r="P497" s="670"/>
      <c r="Q497" s="670"/>
      <c r="R497" s="670"/>
      <c r="S497" s="670"/>
      <c r="T497" s="670"/>
      <c r="U497" s="670"/>
      <c r="V497" s="670"/>
      <c r="W497" s="670"/>
    </row>
    <row r="498" spans="1:23" ht="12.75" customHeight="1" x14ac:dyDescent="0.25">
      <c r="A498" s="670"/>
      <c r="B498" s="670"/>
      <c r="C498" s="670"/>
      <c r="D498" s="670"/>
      <c r="E498" s="670"/>
      <c r="F498" s="670"/>
      <c r="G498" s="670"/>
      <c r="H498" s="670"/>
      <c r="I498" s="670"/>
      <c r="J498" s="670"/>
      <c r="K498" s="670"/>
      <c r="L498" s="670"/>
      <c r="M498" s="670"/>
      <c r="N498" s="670"/>
      <c r="O498" s="670"/>
      <c r="P498" s="670"/>
      <c r="Q498" s="670"/>
      <c r="R498" s="670"/>
      <c r="S498" s="670"/>
      <c r="T498" s="670"/>
      <c r="U498" s="670"/>
      <c r="V498" s="670"/>
      <c r="W498" s="670"/>
    </row>
    <row r="499" spans="1:23" ht="12.75" customHeight="1" x14ac:dyDescent="0.25">
      <c r="A499" s="670"/>
      <c r="B499" s="670"/>
      <c r="C499" s="670"/>
      <c r="D499" s="670"/>
      <c r="E499" s="670"/>
      <c r="F499" s="670"/>
      <c r="G499" s="670"/>
      <c r="H499" s="670"/>
      <c r="I499" s="670"/>
      <c r="J499" s="670"/>
      <c r="K499" s="670"/>
      <c r="L499" s="670"/>
      <c r="M499" s="670"/>
      <c r="N499" s="670"/>
      <c r="O499" s="670"/>
      <c r="P499" s="670"/>
      <c r="Q499" s="670"/>
      <c r="R499" s="670"/>
      <c r="S499" s="670"/>
      <c r="T499" s="670"/>
      <c r="U499" s="670"/>
      <c r="V499" s="670"/>
      <c r="W499" s="670"/>
    </row>
    <row r="500" spans="1:23" ht="12.75" customHeight="1" x14ac:dyDescent="0.25">
      <c r="A500" s="670"/>
      <c r="B500" s="670"/>
      <c r="C500" s="670"/>
      <c r="D500" s="670"/>
      <c r="E500" s="670"/>
      <c r="F500" s="670"/>
      <c r="G500" s="670"/>
      <c r="H500" s="670"/>
      <c r="I500" s="670"/>
      <c r="J500" s="670"/>
      <c r="K500" s="670"/>
      <c r="L500" s="670"/>
      <c r="M500" s="670"/>
      <c r="N500" s="670"/>
      <c r="O500" s="670"/>
      <c r="P500" s="670"/>
      <c r="Q500" s="670"/>
      <c r="R500" s="670"/>
      <c r="S500" s="670"/>
      <c r="T500" s="670"/>
      <c r="U500" s="670"/>
      <c r="V500" s="670"/>
      <c r="W500" s="670"/>
    </row>
    <row r="501" spans="1:23" ht="12.75" customHeight="1" x14ac:dyDescent="0.25">
      <c r="A501" s="670"/>
      <c r="B501" s="670"/>
      <c r="C501" s="670"/>
      <c r="D501" s="670"/>
      <c r="E501" s="670"/>
      <c r="F501" s="670"/>
      <c r="G501" s="670"/>
      <c r="H501" s="670"/>
      <c r="I501" s="670"/>
      <c r="J501" s="670"/>
      <c r="K501" s="670"/>
      <c r="L501" s="670"/>
      <c r="M501" s="670"/>
      <c r="N501" s="670"/>
      <c r="O501" s="670"/>
      <c r="P501" s="670"/>
      <c r="Q501" s="670"/>
      <c r="R501" s="670"/>
      <c r="S501" s="670"/>
      <c r="T501" s="670"/>
      <c r="U501" s="670"/>
      <c r="V501" s="670"/>
      <c r="W501" s="670"/>
    </row>
    <row r="502" spans="1:23" ht="12.75" customHeight="1" x14ac:dyDescent="0.25">
      <c r="A502" s="670"/>
      <c r="B502" s="670"/>
      <c r="C502" s="670"/>
      <c r="D502" s="670"/>
      <c r="E502" s="670"/>
      <c r="F502" s="670"/>
      <c r="G502" s="670"/>
      <c r="H502" s="670"/>
      <c r="I502" s="670"/>
      <c r="J502" s="670"/>
      <c r="K502" s="670"/>
      <c r="L502" s="670"/>
      <c r="M502" s="670"/>
      <c r="N502" s="670"/>
      <c r="O502" s="670"/>
      <c r="P502" s="670"/>
      <c r="Q502" s="670"/>
      <c r="R502" s="670"/>
      <c r="S502" s="670"/>
      <c r="T502" s="670"/>
      <c r="U502" s="670"/>
      <c r="V502" s="670"/>
      <c r="W502" s="670"/>
    </row>
    <row r="503" spans="1:23" ht="12.75" customHeight="1" x14ac:dyDescent="0.25">
      <c r="A503" s="670"/>
      <c r="B503" s="670"/>
      <c r="C503" s="670"/>
      <c r="D503" s="670"/>
      <c r="E503" s="670"/>
      <c r="F503" s="670"/>
      <c r="G503" s="670"/>
      <c r="H503" s="670"/>
      <c r="I503" s="670"/>
      <c r="J503" s="670"/>
      <c r="K503" s="670"/>
      <c r="L503" s="670"/>
      <c r="M503" s="670"/>
      <c r="N503" s="670"/>
      <c r="O503" s="670"/>
      <c r="P503" s="670"/>
      <c r="Q503" s="670"/>
      <c r="R503" s="670"/>
      <c r="S503" s="670"/>
      <c r="T503" s="670"/>
      <c r="U503" s="670"/>
      <c r="V503" s="670"/>
      <c r="W503" s="670"/>
    </row>
    <row r="504" spans="1:23" ht="12.75" customHeight="1" x14ac:dyDescent="0.25">
      <c r="A504" s="670"/>
      <c r="B504" s="670"/>
      <c r="C504" s="670"/>
      <c r="D504" s="670"/>
      <c r="E504" s="670"/>
      <c r="F504" s="670"/>
      <c r="G504" s="670"/>
      <c r="H504" s="670"/>
      <c r="I504" s="670"/>
      <c r="J504" s="670"/>
      <c r="K504" s="670"/>
      <c r="L504" s="670"/>
      <c r="M504" s="670"/>
      <c r="N504" s="670"/>
      <c r="O504" s="670"/>
      <c r="P504" s="670"/>
      <c r="Q504" s="670"/>
      <c r="R504" s="670"/>
      <c r="S504" s="670"/>
      <c r="T504" s="670"/>
      <c r="U504" s="670"/>
      <c r="V504" s="670"/>
      <c r="W504" s="670"/>
    </row>
    <row r="505" spans="1:23" ht="12.75" customHeight="1" x14ac:dyDescent="0.25">
      <c r="A505" s="670"/>
      <c r="B505" s="670"/>
      <c r="C505" s="670"/>
      <c r="D505" s="670"/>
      <c r="E505" s="670"/>
      <c r="F505" s="670"/>
      <c r="G505" s="670"/>
      <c r="H505" s="670"/>
      <c r="I505" s="670"/>
      <c r="J505" s="670"/>
      <c r="K505" s="670"/>
      <c r="L505" s="670"/>
      <c r="M505" s="670"/>
      <c r="N505" s="670"/>
      <c r="O505" s="670"/>
      <c r="P505" s="670"/>
      <c r="Q505" s="670"/>
      <c r="R505" s="670"/>
      <c r="S505" s="670"/>
      <c r="T505" s="670"/>
      <c r="U505" s="670"/>
      <c r="V505" s="670"/>
      <c r="W505" s="670"/>
    </row>
    <row r="506" spans="1:23" ht="12.75" customHeight="1" x14ac:dyDescent="0.25">
      <c r="A506" s="670"/>
      <c r="B506" s="670"/>
      <c r="C506" s="670"/>
      <c r="D506" s="670"/>
      <c r="E506" s="670"/>
      <c r="F506" s="670"/>
      <c r="G506" s="670"/>
      <c r="H506" s="670"/>
      <c r="I506" s="670"/>
      <c r="J506" s="670"/>
      <c r="K506" s="670"/>
      <c r="L506" s="670"/>
      <c r="M506" s="670"/>
      <c r="N506" s="670"/>
      <c r="O506" s="670"/>
      <c r="P506" s="670"/>
      <c r="Q506" s="670"/>
      <c r="R506" s="670"/>
      <c r="S506" s="670"/>
      <c r="T506" s="670"/>
      <c r="U506" s="670"/>
      <c r="V506" s="670"/>
      <c r="W506" s="670"/>
    </row>
    <row r="507" spans="1:23" ht="12.75" customHeight="1" x14ac:dyDescent="0.25">
      <c r="A507" s="670"/>
      <c r="B507" s="670"/>
      <c r="C507" s="670"/>
      <c r="D507" s="670"/>
      <c r="E507" s="670"/>
      <c r="F507" s="670"/>
      <c r="G507" s="670"/>
      <c r="H507" s="670"/>
      <c r="I507" s="670"/>
      <c r="J507" s="670"/>
      <c r="K507" s="670"/>
      <c r="L507" s="670"/>
      <c r="M507" s="670"/>
      <c r="N507" s="670"/>
      <c r="O507" s="670"/>
      <c r="P507" s="670"/>
      <c r="Q507" s="670"/>
      <c r="R507" s="670"/>
      <c r="S507" s="670"/>
      <c r="T507" s="670"/>
      <c r="U507" s="670"/>
      <c r="V507" s="670"/>
      <c r="W507" s="670"/>
    </row>
    <row r="508" spans="1:23" ht="12.75" customHeight="1" x14ac:dyDescent="0.25">
      <c r="A508" s="670"/>
      <c r="B508" s="670"/>
      <c r="C508" s="670"/>
      <c r="D508" s="670"/>
      <c r="E508" s="670"/>
      <c r="F508" s="670"/>
      <c r="G508" s="670"/>
      <c r="H508" s="670"/>
      <c r="I508" s="670"/>
      <c r="J508" s="670"/>
      <c r="K508" s="670"/>
      <c r="L508" s="670"/>
      <c r="M508" s="670"/>
      <c r="N508" s="670"/>
      <c r="O508" s="670"/>
      <c r="P508" s="670"/>
      <c r="Q508" s="670"/>
      <c r="R508" s="670"/>
      <c r="S508" s="670"/>
      <c r="T508" s="670"/>
      <c r="U508" s="670"/>
      <c r="V508" s="670"/>
      <c r="W508" s="670"/>
    </row>
    <row r="509" spans="1:23" ht="12.75" customHeight="1" x14ac:dyDescent="0.25">
      <c r="A509" s="670"/>
      <c r="B509" s="670"/>
      <c r="C509" s="670"/>
      <c r="D509" s="670"/>
      <c r="E509" s="670"/>
      <c r="F509" s="670"/>
      <c r="G509" s="670"/>
      <c r="H509" s="670"/>
      <c r="I509" s="670"/>
      <c r="J509" s="670"/>
      <c r="K509" s="670"/>
      <c r="L509" s="670"/>
      <c r="M509" s="670"/>
      <c r="N509" s="670"/>
      <c r="O509" s="670"/>
      <c r="P509" s="670"/>
      <c r="Q509" s="670"/>
      <c r="R509" s="670"/>
      <c r="S509" s="670"/>
      <c r="T509" s="670"/>
      <c r="U509" s="670"/>
      <c r="V509" s="670"/>
      <c r="W509" s="670"/>
    </row>
    <row r="510" spans="1:23" ht="12.75" customHeight="1" x14ac:dyDescent="0.25">
      <c r="A510" s="670"/>
      <c r="B510" s="670"/>
      <c r="C510" s="670"/>
      <c r="D510" s="670"/>
      <c r="E510" s="670"/>
      <c r="F510" s="670"/>
      <c r="G510" s="670"/>
      <c r="H510" s="670"/>
      <c r="I510" s="670"/>
      <c r="J510" s="670"/>
      <c r="K510" s="670"/>
      <c r="L510" s="670"/>
      <c r="M510" s="670"/>
      <c r="N510" s="670"/>
      <c r="O510" s="670"/>
      <c r="P510" s="670"/>
      <c r="Q510" s="670"/>
      <c r="R510" s="670"/>
      <c r="S510" s="670"/>
      <c r="T510" s="670"/>
      <c r="U510" s="670"/>
      <c r="V510" s="670"/>
      <c r="W510" s="670"/>
    </row>
    <row r="511" spans="1:23" ht="12.75" customHeight="1" x14ac:dyDescent="0.25">
      <c r="A511" s="670"/>
      <c r="B511" s="670"/>
      <c r="C511" s="670"/>
      <c r="D511" s="670"/>
      <c r="E511" s="670"/>
      <c r="F511" s="670"/>
      <c r="G511" s="670"/>
      <c r="H511" s="670"/>
      <c r="I511" s="670"/>
      <c r="J511" s="670"/>
      <c r="K511" s="670"/>
      <c r="L511" s="670"/>
      <c r="M511" s="670"/>
      <c r="N511" s="670"/>
      <c r="O511" s="670"/>
      <c r="P511" s="670"/>
      <c r="Q511" s="670"/>
      <c r="R511" s="670"/>
      <c r="S511" s="670"/>
      <c r="T511" s="670"/>
      <c r="U511" s="670"/>
      <c r="V511" s="670"/>
      <c r="W511" s="670"/>
    </row>
    <row r="512" spans="1:23" ht="12.75" customHeight="1" x14ac:dyDescent="0.25">
      <c r="A512" s="670"/>
      <c r="B512" s="670"/>
      <c r="C512" s="670"/>
      <c r="D512" s="670"/>
      <c r="E512" s="670"/>
      <c r="F512" s="670"/>
      <c r="G512" s="670"/>
      <c r="H512" s="670"/>
      <c r="I512" s="670"/>
      <c r="J512" s="670"/>
      <c r="K512" s="670"/>
      <c r="L512" s="670"/>
      <c r="M512" s="670"/>
      <c r="N512" s="670"/>
      <c r="O512" s="670"/>
      <c r="P512" s="670"/>
      <c r="Q512" s="670"/>
      <c r="R512" s="670"/>
      <c r="S512" s="670"/>
      <c r="T512" s="670"/>
      <c r="U512" s="670"/>
      <c r="V512" s="670"/>
      <c r="W512" s="670"/>
    </row>
    <row r="513" spans="1:23" ht="12.75" customHeight="1" x14ac:dyDescent="0.25">
      <c r="A513" s="670"/>
      <c r="B513" s="670"/>
      <c r="C513" s="670"/>
      <c r="D513" s="670"/>
      <c r="E513" s="670"/>
      <c r="F513" s="670"/>
      <c r="G513" s="670"/>
      <c r="H513" s="670"/>
      <c r="I513" s="670"/>
      <c r="J513" s="670"/>
      <c r="K513" s="670"/>
      <c r="L513" s="670"/>
      <c r="M513" s="670"/>
      <c r="N513" s="670"/>
      <c r="O513" s="670"/>
      <c r="P513" s="670"/>
      <c r="Q513" s="670"/>
      <c r="R513" s="670"/>
      <c r="S513" s="670"/>
      <c r="T513" s="670"/>
      <c r="U513" s="670"/>
      <c r="V513" s="670"/>
      <c r="W513" s="670"/>
    </row>
    <row r="514" spans="1:23" ht="12.75" customHeight="1" x14ac:dyDescent="0.25">
      <c r="A514" s="670"/>
      <c r="B514" s="670"/>
      <c r="C514" s="670"/>
      <c r="D514" s="670"/>
      <c r="E514" s="670"/>
      <c r="F514" s="670"/>
      <c r="G514" s="670"/>
      <c r="H514" s="670"/>
      <c r="I514" s="670"/>
      <c r="J514" s="670"/>
      <c r="K514" s="670"/>
      <c r="L514" s="670"/>
      <c r="M514" s="670"/>
      <c r="N514" s="670"/>
      <c r="O514" s="670"/>
      <c r="P514" s="670"/>
      <c r="Q514" s="670"/>
      <c r="R514" s="670"/>
      <c r="S514" s="670"/>
      <c r="T514" s="670"/>
      <c r="U514" s="670"/>
      <c r="V514" s="670"/>
      <c r="W514" s="670"/>
    </row>
    <row r="515" spans="1:23" ht="12.75" customHeight="1" x14ac:dyDescent="0.25">
      <c r="A515" s="670"/>
      <c r="B515" s="670"/>
      <c r="C515" s="670"/>
      <c r="D515" s="670"/>
      <c r="E515" s="670"/>
      <c r="F515" s="670"/>
      <c r="G515" s="670"/>
      <c r="H515" s="670"/>
      <c r="I515" s="670"/>
      <c r="J515" s="670"/>
      <c r="K515" s="670"/>
      <c r="L515" s="670"/>
      <c r="M515" s="670"/>
      <c r="N515" s="670"/>
      <c r="O515" s="670"/>
      <c r="P515" s="670"/>
      <c r="Q515" s="670"/>
      <c r="R515" s="670"/>
      <c r="S515" s="670"/>
      <c r="T515" s="670"/>
      <c r="U515" s="670"/>
      <c r="V515" s="670"/>
      <c r="W515" s="670"/>
    </row>
    <row r="516" spans="1:23" ht="12.75" customHeight="1" x14ac:dyDescent="0.25">
      <c r="A516" s="670"/>
      <c r="B516" s="670"/>
      <c r="C516" s="670"/>
      <c r="D516" s="670"/>
      <c r="E516" s="670"/>
      <c r="F516" s="670"/>
      <c r="G516" s="670"/>
      <c r="H516" s="670"/>
      <c r="I516" s="670"/>
      <c r="J516" s="670"/>
      <c r="K516" s="670"/>
      <c r="L516" s="670"/>
      <c r="M516" s="670"/>
      <c r="N516" s="670"/>
      <c r="O516" s="670"/>
      <c r="P516" s="670"/>
      <c r="Q516" s="670"/>
      <c r="R516" s="670"/>
      <c r="S516" s="670"/>
      <c r="T516" s="670"/>
      <c r="U516" s="670"/>
      <c r="V516" s="670"/>
      <c r="W516" s="670"/>
    </row>
    <row r="517" spans="1:23" ht="12.75" customHeight="1" x14ac:dyDescent="0.25">
      <c r="A517" s="670"/>
      <c r="B517" s="670"/>
      <c r="C517" s="670"/>
      <c r="D517" s="670"/>
      <c r="E517" s="670"/>
      <c r="F517" s="670"/>
      <c r="G517" s="670"/>
      <c r="H517" s="670"/>
      <c r="I517" s="670"/>
      <c r="J517" s="670"/>
      <c r="K517" s="670"/>
      <c r="L517" s="670"/>
      <c r="M517" s="670"/>
      <c r="N517" s="670"/>
      <c r="O517" s="670"/>
      <c r="P517" s="670"/>
      <c r="Q517" s="670"/>
      <c r="R517" s="670"/>
      <c r="S517" s="670"/>
      <c r="T517" s="670"/>
      <c r="U517" s="670"/>
      <c r="V517" s="670"/>
      <c r="W517" s="670"/>
    </row>
    <row r="518" spans="1:23" ht="12.75" customHeight="1" x14ac:dyDescent="0.25">
      <c r="A518" s="670"/>
      <c r="B518" s="670"/>
      <c r="C518" s="670"/>
      <c r="D518" s="670"/>
      <c r="E518" s="670"/>
      <c r="F518" s="670"/>
      <c r="G518" s="670"/>
      <c r="H518" s="670"/>
      <c r="I518" s="670"/>
      <c r="J518" s="670"/>
      <c r="K518" s="670"/>
      <c r="L518" s="670"/>
      <c r="M518" s="670"/>
      <c r="N518" s="670"/>
      <c r="O518" s="670"/>
      <c r="P518" s="670"/>
      <c r="Q518" s="670"/>
      <c r="R518" s="670"/>
      <c r="S518" s="670"/>
      <c r="T518" s="670"/>
      <c r="U518" s="670"/>
      <c r="V518" s="670"/>
      <c r="W518" s="670"/>
    </row>
    <row r="519" spans="1:23" ht="12.75" customHeight="1" x14ac:dyDescent="0.25">
      <c r="A519" s="670"/>
      <c r="B519" s="670"/>
      <c r="C519" s="670"/>
      <c r="D519" s="670"/>
      <c r="E519" s="670"/>
      <c r="F519" s="670"/>
      <c r="G519" s="670"/>
      <c r="H519" s="670"/>
      <c r="I519" s="670"/>
      <c r="J519" s="670"/>
      <c r="K519" s="670"/>
      <c r="L519" s="670"/>
      <c r="M519" s="670"/>
      <c r="N519" s="670"/>
      <c r="O519" s="670"/>
      <c r="P519" s="670"/>
      <c r="Q519" s="670"/>
      <c r="R519" s="670"/>
      <c r="S519" s="670"/>
      <c r="T519" s="670"/>
      <c r="U519" s="670"/>
      <c r="V519" s="670"/>
      <c r="W519" s="670"/>
    </row>
    <row r="520" spans="1:23" ht="12.75" customHeight="1" x14ac:dyDescent="0.25">
      <c r="A520" s="670"/>
      <c r="B520" s="670"/>
      <c r="C520" s="670"/>
      <c r="D520" s="670"/>
      <c r="E520" s="670"/>
      <c r="F520" s="670"/>
      <c r="G520" s="670"/>
      <c r="H520" s="670"/>
      <c r="I520" s="670"/>
      <c r="J520" s="670"/>
      <c r="K520" s="670"/>
      <c r="L520" s="670"/>
      <c r="M520" s="670"/>
      <c r="N520" s="670"/>
      <c r="O520" s="670"/>
      <c r="P520" s="670"/>
      <c r="Q520" s="670"/>
      <c r="R520" s="670"/>
      <c r="S520" s="670"/>
      <c r="T520" s="670"/>
      <c r="U520" s="670"/>
      <c r="V520" s="670"/>
      <c r="W520" s="670"/>
    </row>
    <row r="521" spans="1:23" ht="12.75" customHeight="1" x14ac:dyDescent="0.25">
      <c r="A521" s="670"/>
      <c r="B521" s="670"/>
      <c r="C521" s="670"/>
      <c r="D521" s="670"/>
      <c r="E521" s="670"/>
      <c r="F521" s="670"/>
      <c r="G521" s="670"/>
      <c r="H521" s="670"/>
      <c r="I521" s="670"/>
      <c r="J521" s="670"/>
      <c r="K521" s="670"/>
      <c r="L521" s="670"/>
      <c r="M521" s="670"/>
      <c r="N521" s="670"/>
      <c r="O521" s="670"/>
      <c r="P521" s="670"/>
      <c r="Q521" s="670"/>
      <c r="R521" s="670"/>
      <c r="S521" s="670"/>
      <c r="T521" s="670"/>
      <c r="U521" s="670"/>
      <c r="V521" s="670"/>
      <c r="W521" s="670"/>
    </row>
    <row r="522" spans="1:23" ht="12.75" customHeight="1" x14ac:dyDescent="0.25">
      <c r="A522" s="670"/>
      <c r="B522" s="670"/>
      <c r="C522" s="670"/>
      <c r="D522" s="670"/>
      <c r="E522" s="670"/>
      <c r="F522" s="670"/>
      <c r="G522" s="670"/>
      <c r="H522" s="670"/>
      <c r="I522" s="670"/>
      <c r="J522" s="670"/>
      <c r="K522" s="670"/>
      <c r="L522" s="670"/>
      <c r="M522" s="670"/>
      <c r="N522" s="670"/>
      <c r="O522" s="670"/>
      <c r="P522" s="670"/>
      <c r="Q522" s="670"/>
      <c r="R522" s="670"/>
      <c r="S522" s="670"/>
      <c r="T522" s="670"/>
      <c r="U522" s="670"/>
      <c r="V522" s="670"/>
      <c r="W522" s="670"/>
    </row>
    <row r="523" spans="1:23" ht="12.75" customHeight="1" x14ac:dyDescent="0.25">
      <c r="A523" s="670"/>
      <c r="B523" s="670"/>
      <c r="C523" s="670"/>
      <c r="D523" s="670"/>
      <c r="E523" s="670"/>
      <c r="F523" s="670"/>
      <c r="G523" s="670"/>
      <c r="H523" s="670"/>
      <c r="I523" s="670"/>
      <c r="J523" s="670"/>
      <c r="K523" s="670"/>
      <c r="L523" s="670"/>
      <c r="M523" s="670"/>
      <c r="N523" s="670"/>
      <c r="O523" s="670"/>
      <c r="P523" s="670"/>
      <c r="Q523" s="670"/>
      <c r="R523" s="670"/>
      <c r="S523" s="670"/>
      <c r="T523" s="670"/>
      <c r="U523" s="670"/>
      <c r="V523" s="670"/>
      <c r="W523" s="670"/>
    </row>
    <row r="524" spans="1:23" ht="12.75" customHeight="1" x14ac:dyDescent="0.25">
      <c r="A524" s="670"/>
      <c r="B524" s="670"/>
      <c r="C524" s="670"/>
      <c r="D524" s="670"/>
      <c r="E524" s="670"/>
      <c r="F524" s="670"/>
      <c r="G524" s="670"/>
      <c r="H524" s="670"/>
      <c r="I524" s="670"/>
      <c r="J524" s="670"/>
      <c r="K524" s="670"/>
      <c r="L524" s="670"/>
      <c r="M524" s="670"/>
      <c r="N524" s="670"/>
      <c r="O524" s="670"/>
      <c r="P524" s="670"/>
      <c r="Q524" s="670"/>
      <c r="R524" s="670"/>
      <c r="S524" s="670"/>
      <c r="T524" s="670"/>
      <c r="U524" s="670"/>
      <c r="V524" s="670"/>
      <c r="W524" s="670"/>
    </row>
    <row r="525" spans="1:23" ht="12.75" customHeight="1" x14ac:dyDescent="0.25">
      <c r="A525" s="670"/>
      <c r="B525" s="670"/>
      <c r="C525" s="670"/>
      <c r="D525" s="670"/>
      <c r="E525" s="670"/>
      <c r="F525" s="670"/>
      <c r="G525" s="670"/>
      <c r="H525" s="670"/>
      <c r="I525" s="670"/>
      <c r="J525" s="670"/>
      <c r="K525" s="670"/>
      <c r="L525" s="670"/>
      <c r="M525" s="670"/>
      <c r="N525" s="670"/>
      <c r="O525" s="670"/>
      <c r="P525" s="670"/>
      <c r="Q525" s="670"/>
      <c r="R525" s="670"/>
      <c r="S525" s="670"/>
      <c r="T525" s="670"/>
      <c r="U525" s="670"/>
      <c r="V525" s="670"/>
      <c r="W525" s="670"/>
    </row>
    <row r="526" spans="1:23" ht="12.75" customHeight="1" x14ac:dyDescent="0.25">
      <c r="A526" s="670"/>
      <c r="B526" s="670"/>
      <c r="C526" s="670"/>
      <c r="D526" s="670"/>
      <c r="E526" s="670"/>
      <c r="F526" s="670"/>
      <c r="G526" s="670"/>
      <c r="H526" s="670"/>
      <c r="I526" s="670"/>
      <c r="J526" s="670"/>
      <c r="K526" s="670"/>
      <c r="L526" s="670"/>
      <c r="M526" s="670"/>
      <c r="N526" s="670"/>
      <c r="O526" s="670"/>
      <c r="P526" s="670"/>
      <c r="Q526" s="670"/>
      <c r="R526" s="670"/>
      <c r="S526" s="670"/>
      <c r="T526" s="670"/>
      <c r="U526" s="670"/>
      <c r="V526" s="670"/>
      <c r="W526" s="670"/>
    </row>
    <row r="527" spans="1:23" ht="12.75" customHeight="1" x14ac:dyDescent="0.25">
      <c r="A527" s="670"/>
      <c r="B527" s="670"/>
      <c r="C527" s="670"/>
      <c r="D527" s="670"/>
      <c r="E527" s="670"/>
      <c r="F527" s="670"/>
      <c r="G527" s="670"/>
      <c r="H527" s="670"/>
      <c r="I527" s="670"/>
      <c r="J527" s="670"/>
      <c r="K527" s="670"/>
      <c r="L527" s="670"/>
      <c r="M527" s="670"/>
      <c r="N527" s="670"/>
      <c r="O527" s="670"/>
      <c r="P527" s="670"/>
      <c r="Q527" s="670"/>
      <c r="R527" s="670"/>
      <c r="S527" s="670"/>
      <c r="T527" s="670"/>
      <c r="U527" s="670"/>
      <c r="V527" s="670"/>
      <c r="W527" s="670"/>
    </row>
    <row r="528" spans="1:23" ht="12.75" customHeight="1" x14ac:dyDescent="0.25">
      <c r="A528" s="670"/>
      <c r="B528" s="670"/>
      <c r="C528" s="670"/>
      <c r="D528" s="670"/>
      <c r="E528" s="670"/>
      <c r="F528" s="670"/>
      <c r="G528" s="670"/>
      <c r="H528" s="670"/>
      <c r="I528" s="670"/>
      <c r="J528" s="670"/>
      <c r="K528" s="670"/>
      <c r="L528" s="670"/>
      <c r="M528" s="670"/>
      <c r="N528" s="670"/>
      <c r="O528" s="670"/>
      <c r="P528" s="670"/>
      <c r="Q528" s="670"/>
      <c r="R528" s="670"/>
      <c r="S528" s="670"/>
      <c r="T528" s="670"/>
      <c r="U528" s="670"/>
      <c r="V528" s="670"/>
      <c r="W528" s="670"/>
    </row>
    <row r="529" spans="1:23" ht="12.75" customHeight="1" x14ac:dyDescent="0.25">
      <c r="A529" s="670"/>
      <c r="B529" s="670"/>
      <c r="C529" s="670"/>
      <c r="D529" s="670"/>
      <c r="E529" s="670"/>
      <c r="F529" s="670"/>
      <c r="G529" s="670"/>
      <c r="H529" s="670"/>
      <c r="I529" s="670"/>
      <c r="J529" s="670"/>
      <c r="K529" s="670"/>
      <c r="L529" s="670"/>
      <c r="M529" s="670"/>
      <c r="N529" s="670"/>
      <c r="O529" s="670"/>
      <c r="P529" s="670"/>
      <c r="Q529" s="670"/>
      <c r="R529" s="670"/>
      <c r="S529" s="670"/>
      <c r="T529" s="670"/>
      <c r="U529" s="670"/>
      <c r="V529" s="670"/>
      <c r="W529" s="670"/>
    </row>
    <row r="530" spans="1:23" ht="12.75" customHeight="1" x14ac:dyDescent="0.25">
      <c r="A530" s="670"/>
      <c r="B530" s="670"/>
      <c r="C530" s="670"/>
      <c r="D530" s="670"/>
      <c r="E530" s="670"/>
      <c r="F530" s="670"/>
      <c r="G530" s="670"/>
      <c r="H530" s="670"/>
      <c r="I530" s="670"/>
      <c r="J530" s="670"/>
      <c r="K530" s="670"/>
      <c r="L530" s="670"/>
      <c r="M530" s="670"/>
      <c r="N530" s="670"/>
      <c r="O530" s="670"/>
      <c r="P530" s="670"/>
      <c r="Q530" s="670"/>
      <c r="R530" s="670"/>
      <c r="S530" s="670"/>
      <c r="T530" s="670"/>
      <c r="U530" s="670"/>
      <c r="V530" s="670"/>
      <c r="W530" s="670"/>
    </row>
    <row r="531" spans="1:23" ht="12.75" customHeight="1" x14ac:dyDescent="0.25">
      <c r="A531" s="670"/>
      <c r="B531" s="670"/>
      <c r="C531" s="670"/>
      <c r="D531" s="670"/>
      <c r="E531" s="670"/>
      <c r="F531" s="670"/>
      <c r="G531" s="670"/>
      <c r="H531" s="670"/>
      <c r="I531" s="670"/>
      <c r="J531" s="670"/>
      <c r="K531" s="670"/>
      <c r="L531" s="670"/>
      <c r="M531" s="670"/>
      <c r="N531" s="670"/>
      <c r="O531" s="670"/>
      <c r="P531" s="670"/>
      <c r="Q531" s="670"/>
      <c r="R531" s="670"/>
      <c r="S531" s="670"/>
      <c r="T531" s="670"/>
      <c r="U531" s="670"/>
      <c r="V531" s="670"/>
      <c r="W531" s="670"/>
    </row>
    <row r="532" spans="1:23" ht="12.75" customHeight="1" x14ac:dyDescent="0.25">
      <c r="A532" s="670"/>
      <c r="B532" s="670"/>
      <c r="C532" s="670"/>
      <c r="D532" s="670"/>
      <c r="E532" s="670"/>
      <c r="F532" s="670"/>
      <c r="G532" s="670"/>
      <c r="H532" s="670"/>
      <c r="I532" s="670"/>
      <c r="J532" s="670"/>
      <c r="K532" s="670"/>
      <c r="L532" s="670"/>
      <c r="M532" s="670"/>
      <c r="N532" s="670"/>
      <c r="O532" s="670"/>
      <c r="P532" s="670"/>
      <c r="Q532" s="670"/>
      <c r="R532" s="670"/>
      <c r="S532" s="670"/>
      <c r="T532" s="670"/>
      <c r="U532" s="670"/>
      <c r="V532" s="670"/>
      <c r="W532" s="670"/>
    </row>
    <row r="533" spans="1:23" ht="12.75" customHeight="1" x14ac:dyDescent="0.25">
      <c r="A533" s="670"/>
      <c r="B533" s="670"/>
      <c r="C533" s="670"/>
      <c r="D533" s="670"/>
      <c r="E533" s="670"/>
      <c r="F533" s="670"/>
      <c r="G533" s="670"/>
      <c r="H533" s="670"/>
      <c r="I533" s="670"/>
      <c r="J533" s="670"/>
      <c r="K533" s="670"/>
      <c r="L533" s="670"/>
      <c r="M533" s="670"/>
      <c r="N533" s="670"/>
      <c r="O533" s="670"/>
      <c r="P533" s="670"/>
      <c r="Q533" s="670"/>
      <c r="R533" s="670"/>
      <c r="S533" s="670"/>
      <c r="T533" s="670"/>
      <c r="U533" s="670"/>
      <c r="V533" s="670"/>
      <c r="W533" s="670"/>
    </row>
    <row r="534" spans="1:23" ht="12.75" customHeight="1" x14ac:dyDescent="0.25">
      <c r="A534" s="670"/>
      <c r="B534" s="670"/>
      <c r="C534" s="670"/>
      <c r="D534" s="670"/>
      <c r="E534" s="670"/>
      <c r="F534" s="670"/>
      <c r="G534" s="670"/>
      <c r="H534" s="670"/>
      <c r="I534" s="670"/>
      <c r="J534" s="670"/>
      <c r="K534" s="670"/>
      <c r="L534" s="670"/>
      <c r="M534" s="670"/>
      <c r="N534" s="670"/>
      <c r="O534" s="670"/>
      <c r="P534" s="670"/>
      <c r="Q534" s="670"/>
      <c r="R534" s="670"/>
      <c r="S534" s="670"/>
      <c r="T534" s="670"/>
      <c r="U534" s="670"/>
      <c r="V534" s="670"/>
      <c r="W534" s="670"/>
    </row>
    <row r="535" spans="1:23" ht="12.75" customHeight="1" x14ac:dyDescent="0.25">
      <c r="A535" s="670"/>
      <c r="B535" s="670"/>
      <c r="C535" s="670"/>
      <c r="D535" s="670"/>
      <c r="E535" s="670"/>
      <c r="F535" s="670"/>
      <c r="G535" s="670"/>
      <c r="H535" s="670"/>
      <c r="I535" s="670"/>
      <c r="J535" s="670"/>
      <c r="K535" s="670"/>
      <c r="L535" s="670"/>
      <c r="M535" s="670"/>
      <c r="N535" s="670"/>
      <c r="O535" s="670"/>
      <c r="P535" s="670"/>
      <c r="Q535" s="670"/>
      <c r="R535" s="670"/>
      <c r="S535" s="670"/>
      <c r="T535" s="670"/>
      <c r="U535" s="670"/>
      <c r="V535" s="670"/>
      <c r="W535" s="670"/>
    </row>
    <row r="536" spans="1:23" ht="12.75" customHeight="1" x14ac:dyDescent="0.25">
      <c r="A536" s="670"/>
      <c r="B536" s="670"/>
      <c r="C536" s="670"/>
      <c r="D536" s="670"/>
      <c r="E536" s="670"/>
      <c r="F536" s="670"/>
      <c r="G536" s="670"/>
      <c r="H536" s="670"/>
      <c r="I536" s="670"/>
      <c r="J536" s="670"/>
      <c r="K536" s="670"/>
      <c r="L536" s="670"/>
      <c r="M536" s="670"/>
      <c r="N536" s="670"/>
      <c r="O536" s="670"/>
      <c r="P536" s="670"/>
      <c r="Q536" s="670"/>
      <c r="R536" s="670"/>
      <c r="S536" s="670"/>
      <c r="T536" s="670"/>
      <c r="U536" s="670"/>
      <c r="V536" s="670"/>
      <c r="W536" s="670"/>
    </row>
    <row r="537" spans="1:23" ht="12.75" customHeight="1" x14ac:dyDescent="0.25">
      <c r="A537" s="670"/>
      <c r="B537" s="670"/>
      <c r="C537" s="670"/>
      <c r="D537" s="670"/>
      <c r="E537" s="670"/>
      <c r="F537" s="670"/>
      <c r="G537" s="670"/>
      <c r="H537" s="670"/>
      <c r="I537" s="670"/>
      <c r="J537" s="670"/>
      <c r="K537" s="670"/>
      <c r="L537" s="670"/>
      <c r="M537" s="670"/>
      <c r="N537" s="670"/>
      <c r="O537" s="670"/>
      <c r="P537" s="670"/>
      <c r="Q537" s="670"/>
      <c r="R537" s="670"/>
      <c r="S537" s="670"/>
      <c r="T537" s="670"/>
      <c r="U537" s="670"/>
      <c r="V537" s="670"/>
      <c r="W537" s="670"/>
    </row>
    <row r="538" spans="1:23" ht="12.75" customHeight="1" x14ac:dyDescent="0.25">
      <c r="A538" s="670"/>
      <c r="B538" s="670"/>
      <c r="C538" s="670"/>
      <c r="D538" s="670"/>
      <c r="E538" s="670"/>
      <c r="F538" s="670"/>
      <c r="G538" s="670"/>
      <c r="H538" s="670"/>
      <c r="I538" s="670"/>
      <c r="J538" s="670"/>
      <c r="K538" s="670"/>
      <c r="L538" s="670"/>
      <c r="M538" s="670"/>
      <c r="N538" s="670"/>
      <c r="O538" s="670"/>
      <c r="P538" s="670"/>
      <c r="Q538" s="670"/>
      <c r="R538" s="670"/>
      <c r="S538" s="670"/>
      <c r="T538" s="670"/>
      <c r="U538" s="670"/>
      <c r="V538" s="670"/>
      <c r="W538" s="670"/>
    </row>
    <row r="539" spans="1:23" ht="12.75" customHeight="1" x14ac:dyDescent="0.25">
      <c r="A539" s="670"/>
      <c r="B539" s="670"/>
      <c r="C539" s="670"/>
      <c r="D539" s="670"/>
      <c r="E539" s="670"/>
      <c r="F539" s="670"/>
      <c r="G539" s="670"/>
      <c r="H539" s="670"/>
      <c r="I539" s="670"/>
      <c r="J539" s="670"/>
      <c r="K539" s="670"/>
      <c r="L539" s="670"/>
      <c r="M539" s="670"/>
      <c r="N539" s="670"/>
      <c r="O539" s="670"/>
      <c r="P539" s="670"/>
      <c r="Q539" s="670"/>
      <c r="R539" s="670"/>
      <c r="S539" s="670"/>
      <c r="T539" s="670"/>
      <c r="U539" s="670"/>
      <c r="V539" s="670"/>
      <c r="W539" s="670"/>
    </row>
    <row r="540" spans="1:23" ht="12.75" customHeight="1" x14ac:dyDescent="0.25">
      <c r="A540" s="670"/>
      <c r="B540" s="670"/>
      <c r="C540" s="670"/>
      <c r="D540" s="670"/>
      <c r="E540" s="670"/>
      <c r="F540" s="670"/>
      <c r="G540" s="670"/>
      <c r="H540" s="670"/>
      <c r="I540" s="670"/>
      <c r="J540" s="670"/>
      <c r="K540" s="670"/>
      <c r="L540" s="670"/>
      <c r="M540" s="670"/>
      <c r="N540" s="670"/>
      <c r="O540" s="670"/>
      <c r="P540" s="670"/>
      <c r="Q540" s="670"/>
      <c r="R540" s="670"/>
      <c r="S540" s="670"/>
      <c r="T540" s="670"/>
      <c r="U540" s="670"/>
      <c r="V540" s="670"/>
      <c r="W540" s="670"/>
    </row>
    <row r="541" spans="1:23" ht="12.75" customHeight="1" x14ac:dyDescent="0.25">
      <c r="A541" s="670"/>
      <c r="B541" s="670"/>
      <c r="C541" s="670"/>
      <c r="D541" s="670"/>
      <c r="E541" s="670"/>
      <c r="F541" s="670"/>
      <c r="G541" s="670"/>
      <c r="H541" s="670"/>
      <c r="I541" s="670"/>
      <c r="J541" s="670"/>
      <c r="K541" s="670"/>
      <c r="L541" s="670"/>
      <c r="M541" s="670"/>
      <c r="N541" s="670"/>
      <c r="O541" s="670"/>
      <c r="P541" s="670"/>
      <c r="Q541" s="670"/>
      <c r="R541" s="670"/>
      <c r="S541" s="670"/>
      <c r="T541" s="670"/>
      <c r="U541" s="670"/>
      <c r="V541" s="670"/>
      <c r="W541" s="670"/>
    </row>
    <row r="542" spans="1:23" ht="12.75" customHeight="1" x14ac:dyDescent="0.25">
      <c r="A542" s="670"/>
      <c r="B542" s="670"/>
      <c r="C542" s="670"/>
      <c r="D542" s="670"/>
      <c r="E542" s="670"/>
      <c r="F542" s="670"/>
      <c r="G542" s="670"/>
      <c r="H542" s="670"/>
      <c r="I542" s="670"/>
      <c r="J542" s="670"/>
      <c r="K542" s="670"/>
      <c r="L542" s="670"/>
      <c r="M542" s="670"/>
      <c r="N542" s="670"/>
      <c r="O542" s="670"/>
      <c r="P542" s="670"/>
      <c r="Q542" s="670"/>
      <c r="R542" s="670"/>
      <c r="S542" s="670"/>
      <c r="T542" s="670"/>
      <c r="U542" s="670"/>
      <c r="V542" s="670"/>
      <c r="W542" s="670"/>
    </row>
    <row r="543" spans="1:23" ht="12.75" customHeight="1" x14ac:dyDescent="0.25">
      <c r="A543" s="670"/>
      <c r="B543" s="670"/>
      <c r="C543" s="670"/>
      <c r="D543" s="670"/>
      <c r="E543" s="670"/>
      <c r="F543" s="670"/>
      <c r="G543" s="670"/>
      <c r="H543" s="670"/>
      <c r="I543" s="670"/>
      <c r="J543" s="670"/>
      <c r="K543" s="670"/>
      <c r="L543" s="670"/>
      <c r="M543" s="670"/>
      <c r="N543" s="670"/>
      <c r="O543" s="670"/>
      <c r="P543" s="670"/>
      <c r="Q543" s="670"/>
      <c r="R543" s="670"/>
      <c r="S543" s="670"/>
      <c r="T543" s="670"/>
      <c r="U543" s="670"/>
      <c r="V543" s="670"/>
      <c r="W543" s="670"/>
    </row>
    <row r="544" spans="1:23" ht="12.75" customHeight="1" x14ac:dyDescent="0.25">
      <c r="A544" s="670"/>
      <c r="B544" s="670"/>
      <c r="C544" s="670"/>
      <c r="D544" s="670"/>
      <c r="E544" s="670"/>
      <c r="F544" s="670"/>
      <c r="G544" s="670"/>
      <c r="H544" s="670"/>
      <c r="I544" s="670"/>
      <c r="J544" s="670"/>
      <c r="K544" s="670"/>
      <c r="L544" s="670"/>
      <c r="M544" s="670"/>
      <c r="N544" s="670"/>
      <c r="O544" s="670"/>
      <c r="P544" s="670"/>
      <c r="Q544" s="670"/>
      <c r="R544" s="670"/>
      <c r="S544" s="670"/>
      <c r="T544" s="670"/>
      <c r="U544" s="670"/>
      <c r="V544" s="670"/>
      <c r="W544" s="670"/>
    </row>
    <row r="545" spans="1:23" ht="12.75" customHeight="1" x14ac:dyDescent="0.25">
      <c r="A545" s="670"/>
      <c r="B545" s="670"/>
      <c r="C545" s="670"/>
      <c r="D545" s="670"/>
      <c r="E545" s="670"/>
      <c r="F545" s="670"/>
      <c r="G545" s="670"/>
      <c r="H545" s="670"/>
      <c r="I545" s="670"/>
      <c r="J545" s="670"/>
      <c r="K545" s="670"/>
      <c r="L545" s="670"/>
      <c r="M545" s="670"/>
      <c r="N545" s="670"/>
      <c r="O545" s="670"/>
      <c r="P545" s="670"/>
      <c r="Q545" s="670"/>
      <c r="R545" s="670"/>
      <c r="S545" s="670"/>
      <c r="T545" s="670"/>
      <c r="U545" s="670"/>
      <c r="V545" s="670"/>
      <c r="W545" s="670"/>
    </row>
    <row r="546" spans="1:23" ht="12.75" customHeight="1" x14ac:dyDescent="0.25">
      <c r="A546" s="670"/>
      <c r="B546" s="670"/>
      <c r="C546" s="670"/>
      <c r="D546" s="670"/>
      <c r="E546" s="670"/>
      <c r="F546" s="670"/>
      <c r="G546" s="670"/>
      <c r="H546" s="670"/>
      <c r="I546" s="670"/>
      <c r="J546" s="670"/>
      <c r="K546" s="670"/>
      <c r="L546" s="670"/>
      <c r="M546" s="670"/>
      <c r="N546" s="670"/>
      <c r="O546" s="670"/>
      <c r="P546" s="670"/>
      <c r="Q546" s="670"/>
      <c r="R546" s="670"/>
      <c r="S546" s="670"/>
      <c r="T546" s="670"/>
      <c r="U546" s="670"/>
      <c r="V546" s="670"/>
      <c r="W546" s="670"/>
    </row>
    <row r="547" spans="1:23" ht="12.75" customHeight="1" x14ac:dyDescent="0.25">
      <c r="A547" s="670"/>
      <c r="B547" s="670"/>
      <c r="C547" s="670"/>
      <c r="D547" s="670"/>
      <c r="E547" s="670"/>
      <c r="F547" s="670"/>
      <c r="G547" s="670"/>
      <c r="H547" s="670"/>
      <c r="I547" s="670"/>
      <c r="J547" s="670"/>
      <c r="K547" s="670"/>
      <c r="L547" s="670"/>
      <c r="M547" s="670"/>
      <c r="N547" s="670"/>
      <c r="O547" s="670"/>
      <c r="P547" s="670"/>
      <c r="Q547" s="670"/>
      <c r="R547" s="670"/>
      <c r="S547" s="670"/>
      <c r="T547" s="670"/>
      <c r="U547" s="670"/>
      <c r="V547" s="670"/>
      <c r="W547" s="670"/>
    </row>
    <row r="548" spans="1:23" ht="12.75" customHeight="1" x14ac:dyDescent="0.25">
      <c r="A548" s="670"/>
      <c r="B548" s="670"/>
      <c r="C548" s="670"/>
      <c r="D548" s="670"/>
      <c r="E548" s="670"/>
      <c r="F548" s="670"/>
      <c r="G548" s="670"/>
      <c r="H548" s="670"/>
      <c r="I548" s="670"/>
      <c r="J548" s="670"/>
      <c r="K548" s="670"/>
      <c r="L548" s="670"/>
      <c r="M548" s="670"/>
      <c r="N548" s="670"/>
      <c r="O548" s="670"/>
      <c r="P548" s="670"/>
      <c r="Q548" s="670"/>
      <c r="R548" s="670"/>
      <c r="S548" s="670"/>
      <c r="T548" s="670"/>
      <c r="U548" s="670"/>
      <c r="V548" s="670"/>
      <c r="W548" s="670"/>
    </row>
    <row r="549" spans="1:23" ht="12.75" customHeight="1" x14ac:dyDescent="0.25">
      <c r="A549" s="670"/>
      <c r="B549" s="670"/>
      <c r="C549" s="670"/>
      <c r="D549" s="670"/>
      <c r="E549" s="670"/>
      <c r="F549" s="670"/>
      <c r="G549" s="670"/>
      <c r="H549" s="670"/>
      <c r="I549" s="670"/>
      <c r="J549" s="670"/>
      <c r="K549" s="670"/>
      <c r="L549" s="670"/>
      <c r="M549" s="670"/>
      <c r="N549" s="670"/>
      <c r="O549" s="670"/>
      <c r="P549" s="670"/>
      <c r="Q549" s="670"/>
      <c r="R549" s="670"/>
      <c r="S549" s="670"/>
      <c r="T549" s="670"/>
      <c r="U549" s="670"/>
      <c r="V549" s="670"/>
      <c r="W549" s="670"/>
    </row>
    <row r="550" spans="1:23" ht="12.75" customHeight="1" x14ac:dyDescent="0.25">
      <c r="A550" s="670"/>
      <c r="B550" s="670"/>
      <c r="C550" s="670"/>
      <c r="D550" s="670"/>
      <c r="E550" s="670"/>
      <c r="F550" s="670"/>
      <c r="G550" s="670"/>
      <c r="H550" s="670"/>
      <c r="I550" s="670"/>
      <c r="J550" s="670"/>
      <c r="K550" s="670"/>
      <c r="L550" s="670"/>
      <c r="M550" s="670"/>
      <c r="N550" s="670"/>
      <c r="O550" s="670"/>
      <c r="P550" s="670"/>
      <c r="Q550" s="670"/>
      <c r="R550" s="670"/>
      <c r="S550" s="670"/>
      <c r="T550" s="670"/>
      <c r="U550" s="670"/>
      <c r="V550" s="670"/>
      <c r="W550" s="670"/>
    </row>
    <row r="551" spans="1:23" ht="12.75" customHeight="1" x14ac:dyDescent="0.25">
      <c r="A551" s="670"/>
      <c r="B551" s="670"/>
      <c r="C551" s="670"/>
      <c r="D551" s="670"/>
      <c r="E551" s="670"/>
      <c r="F551" s="670"/>
      <c r="G551" s="670"/>
      <c r="H551" s="670"/>
      <c r="I551" s="670"/>
      <c r="J551" s="670"/>
      <c r="K551" s="670"/>
      <c r="L551" s="670"/>
      <c r="M551" s="670"/>
      <c r="N551" s="670"/>
      <c r="O551" s="670"/>
      <c r="P551" s="670"/>
      <c r="Q551" s="670"/>
      <c r="R551" s="670"/>
      <c r="S551" s="670"/>
      <c r="T551" s="670"/>
      <c r="U551" s="670"/>
      <c r="V551" s="670"/>
      <c r="W551" s="670"/>
    </row>
    <row r="552" spans="1:23" ht="12.75" customHeight="1" x14ac:dyDescent="0.25">
      <c r="A552" s="670"/>
      <c r="B552" s="670"/>
      <c r="C552" s="670"/>
      <c r="D552" s="670"/>
      <c r="E552" s="670"/>
      <c r="F552" s="670"/>
      <c r="G552" s="670"/>
      <c r="H552" s="670"/>
      <c r="I552" s="670"/>
      <c r="J552" s="670"/>
      <c r="K552" s="670"/>
      <c r="L552" s="670"/>
      <c r="M552" s="670"/>
      <c r="N552" s="670"/>
      <c r="O552" s="670"/>
      <c r="P552" s="670"/>
      <c r="Q552" s="670"/>
      <c r="R552" s="670"/>
      <c r="S552" s="670"/>
      <c r="T552" s="670"/>
      <c r="U552" s="670"/>
      <c r="V552" s="670"/>
      <c r="W552" s="670"/>
    </row>
    <row r="553" spans="1:23" ht="12.75" customHeight="1" x14ac:dyDescent="0.25">
      <c r="A553" s="670"/>
      <c r="B553" s="670"/>
      <c r="C553" s="670"/>
      <c r="D553" s="670"/>
      <c r="E553" s="670"/>
      <c r="F553" s="670"/>
      <c r="G553" s="670"/>
      <c r="H553" s="670"/>
      <c r="I553" s="670"/>
      <c r="J553" s="670"/>
      <c r="K553" s="670"/>
      <c r="L553" s="670"/>
      <c r="M553" s="670"/>
      <c r="N553" s="670"/>
      <c r="O553" s="670"/>
      <c r="P553" s="670"/>
      <c r="Q553" s="670"/>
      <c r="R553" s="670"/>
      <c r="S553" s="670"/>
      <c r="T553" s="670"/>
      <c r="U553" s="670"/>
      <c r="V553" s="670"/>
      <c r="W553" s="670"/>
    </row>
    <row r="554" spans="1:23" ht="12.75" customHeight="1" x14ac:dyDescent="0.25">
      <c r="A554" s="670"/>
      <c r="B554" s="670"/>
      <c r="C554" s="670"/>
      <c r="D554" s="670"/>
      <c r="E554" s="670"/>
      <c r="F554" s="670"/>
      <c r="G554" s="670"/>
      <c r="H554" s="670"/>
      <c r="I554" s="670"/>
      <c r="J554" s="670"/>
      <c r="K554" s="670"/>
      <c r="L554" s="670"/>
      <c r="M554" s="670"/>
      <c r="N554" s="670"/>
      <c r="O554" s="670"/>
      <c r="P554" s="670"/>
      <c r="Q554" s="670"/>
      <c r="R554" s="670"/>
      <c r="S554" s="670"/>
      <c r="T554" s="670"/>
      <c r="U554" s="670"/>
      <c r="V554" s="670"/>
      <c r="W554" s="670"/>
    </row>
    <row r="555" spans="1:23" ht="12.75" customHeight="1" x14ac:dyDescent="0.25">
      <c r="A555" s="670"/>
      <c r="B555" s="670"/>
      <c r="C555" s="670"/>
      <c r="D555" s="670"/>
      <c r="E555" s="670"/>
      <c r="F555" s="670"/>
      <c r="G555" s="670"/>
      <c r="H555" s="670"/>
      <c r="I555" s="670"/>
      <c r="J555" s="670"/>
      <c r="K555" s="670"/>
      <c r="L555" s="670"/>
      <c r="M555" s="670"/>
      <c r="N555" s="670"/>
      <c r="O555" s="670"/>
      <c r="P555" s="670"/>
      <c r="Q555" s="670"/>
      <c r="R555" s="670"/>
      <c r="S555" s="670"/>
      <c r="T555" s="670"/>
      <c r="U555" s="670"/>
      <c r="V555" s="670"/>
      <c r="W555" s="670"/>
    </row>
    <row r="556" spans="1:23" ht="12.75" customHeight="1" x14ac:dyDescent="0.25">
      <c r="A556" s="670"/>
      <c r="B556" s="670"/>
      <c r="C556" s="670"/>
      <c r="D556" s="670"/>
      <c r="E556" s="670"/>
      <c r="F556" s="670"/>
      <c r="G556" s="670"/>
      <c r="H556" s="670"/>
      <c r="I556" s="670"/>
      <c r="J556" s="670"/>
      <c r="K556" s="670"/>
      <c r="L556" s="670"/>
      <c r="M556" s="670"/>
      <c r="N556" s="670"/>
      <c r="O556" s="670"/>
      <c r="P556" s="670"/>
      <c r="Q556" s="670"/>
      <c r="R556" s="670"/>
      <c r="S556" s="670"/>
      <c r="T556" s="670"/>
      <c r="U556" s="670"/>
      <c r="V556" s="670"/>
      <c r="W556" s="670"/>
    </row>
    <row r="557" spans="1:23" ht="12.75" customHeight="1" x14ac:dyDescent="0.25">
      <c r="A557" s="670"/>
      <c r="B557" s="670"/>
      <c r="C557" s="670"/>
      <c r="D557" s="670"/>
      <c r="E557" s="670"/>
      <c r="F557" s="670"/>
      <c r="G557" s="670"/>
      <c r="H557" s="670"/>
      <c r="I557" s="670"/>
      <c r="J557" s="670"/>
      <c r="K557" s="670"/>
      <c r="L557" s="670"/>
      <c r="M557" s="670"/>
      <c r="N557" s="670"/>
      <c r="O557" s="670"/>
      <c r="P557" s="670"/>
      <c r="Q557" s="670"/>
      <c r="R557" s="670"/>
      <c r="S557" s="670"/>
      <c r="T557" s="670"/>
      <c r="U557" s="670"/>
      <c r="V557" s="670"/>
      <c r="W557" s="670"/>
    </row>
    <row r="558" spans="1:23" ht="12.75" customHeight="1" x14ac:dyDescent="0.25">
      <c r="A558" s="670"/>
      <c r="B558" s="670"/>
      <c r="C558" s="670"/>
      <c r="D558" s="670"/>
      <c r="E558" s="670"/>
      <c r="F558" s="670"/>
      <c r="G558" s="670"/>
      <c r="H558" s="670"/>
      <c r="I558" s="670"/>
      <c r="J558" s="670"/>
      <c r="K558" s="670"/>
      <c r="L558" s="670"/>
      <c r="M558" s="670"/>
      <c r="N558" s="670"/>
      <c r="O558" s="670"/>
      <c r="P558" s="670"/>
      <c r="Q558" s="670"/>
      <c r="R558" s="670"/>
      <c r="S558" s="670"/>
      <c r="T558" s="670"/>
      <c r="U558" s="670"/>
      <c r="V558" s="670"/>
      <c r="W558" s="670"/>
    </row>
    <row r="559" spans="1:23" ht="12.75" customHeight="1" x14ac:dyDescent="0.25">
      <c r="A559" s="670"/>
      <c r="B559" s="670"/>
      <c r="C559" s="670"/>
      <c r="D559" s="670"/>
      <c r="E559" s="670"/>
      <c r="F559" s="670"/>
      <c r="G559" s="670"/>
      <c r="H559" s="670"/>
      <c r="I559" s="670"/>
      <c r="J559" s="670"/>
      <c r="K559" s="670"/>
      <c r="L559" s="670"/>
      <c r="M559" s="670"/>
      <c r="N559" s="670"/>
      <c r="O559" s="670"/>
      <c r="P559" s="670"/>
      <c r="Q559" s="670"/>
      <c r="R559" s="670"/>
      <c r="S559" s="670"/>
      <c r="T559" s="670"/>
      <c r="U559" s="670"/>
      <c r="V559" s="670"/>
      <c r="W559" s="670"/>
    </row>
    <row r="560" spans="1:23" ht="12.75" customHeight="1" x14ac:dyDescent="0.25">
      <c r="A560" s="670"/>
      <c r="B560" s="670"/>
      <c r="C560" s="670"/>
      <c r="D560" s="670"/>
      <c r="E560" s="670"/>
      <c r="F560" s="670"/>
      <c r="G560" s="670"/>
      <c r="H560" s="670"/>
      <c r="I560" s="670"/>
      <c r="J560" s="670"/>
      <c r="K560" s="670"/>
      <c r="L560" s="670"/>
      <c r="M560" s="670"/>
      <c r="N560" s="670"/>
      <c r="O560" s="670"/>
      <c r="P560" s="670"/>
      <c r="Q560" s="670"/>
      <c r="R560" s="670"/>
      <c r="S560" s="670"/>
      <c r="T560" s="670"/>
      <c r="U560" s="670"/>
      <c r="V560" s="670"/>
      <c r="W560" s="670"/>
    </row>
    <row r="561" spans="1:23" ht="12.75" customHeight="1" x14ac:dyDescent="0.25">
      <c r="A561" s="670"/>
      <c r="B561" s="670"/>
      <c r="C561" s="670"/>
      <c r="D561" s="670"/>
      <c r="E561" s="670"/>
      <c r="F561" s="670"/>
      <c r="G561" s="670"/>
      <c r="H561" s="670"/>
      <c r="I561" s="670"/>
      <c r="J561" s="670"/>
      <c r="K561" s="670"/>
      <c r="L561" s="670"/>
      <c r="M561" s="670"/>
      <c r="N561" s="670"/>
      <c r="O561" s="670"/>
      <c r="P561" s="670"/>
      <c r="Q561" s="670"/>
      <c r="R561" s="670"/>
      <c r="S561" s="670"/>
      <c r="T561" s="670"/>
      <c r="U561" s="670"/>
      <c r="V561" s="670"/>
      <c r="W561" s="670"/>
    </row>
    <row r="562" spans="1:23" ht="12.75" customHeight="1" x14ac:dyDescent="0.25">
      <c r="A562" s="670"/>
      <c r="B562" s="670"/>
      <c r="C562" s="670"/>
      <c r="D562" s="670"/>
      <c r="E562" s="670"/>
      <c r="F562" s="670"/>
      <c r="G562" s="670"/>
      <c r="H562" s="670"/>
      <c r="I562" s="670"/>
      <c r="J562" s="670"/>
      <c r="K562" s="670"/>
      <c r="L562" s="670"/>
      <c r="M562" s="670"/>
      <c r="N562" s="670"/>
      <c r="O562" s="670"/>
      <c r="P562" s="670"/>
      <c r="Q562" s="670"/>
      <c r="R562" s="670"/>
      <c r="S562" s="670"/>
      <c r="T562" s="670"/>
      <c r="U562" s="670"/>
      <c r="V562" s="670"/>
      <c r="W562" s="670"/>
    </row>
    <row r="563" spans="1:23" ht="12.75" customHeight="1" x14ac:dyDescent="0.25">
      <c r="A563" s="670"/>
      <c r="B563" s="670"/>
      <c r="C563" s="670"/>
      <c r="D563" s="670"/>
      <c r="E563" s="670"/>
      <c r="F563" s="670"/>
      <c r="G563" s="670"/>
      <c r="H563" s="670"/>
      <c r="I563" s="670"/>
      <c r="J563" s="670"/>
      <c r="K563" s="670"/>
      <c r="L563" s="670"/>
      <c r="M563" s="670"/>
      <c r="N563" s="670"/>
      <c r="O563" s="670"/>
      <c r="P563" s="670"/>
      <c r="Q563" s="670"/>
      <c r="R563" s="670"/>
      <c r="S563" s="670"/>
      <c r="T563" s="670"/>
      <c r="U563" s="670"/>
      <c r="V563" s="670"/>
      <c r="W563" s="670"/>
    </row>
    <row r="564" spans="1:23" ht="12.75" customHeight="1" x14ac:dyDescent="0.25">
      <c r="A564" s="670"/>
      <c r="B564" s="670"/>
      <c r="C564" s="670"/>
      <c r="D564" s="670"/>
      <c r="E564" s="670"/>
      <c r="F564" s="670"/>
      <c r="G564" s="670"/>
      <c r="H564" s="670"/>
      <c r="I564" s="670"/>
      <c r="J564" s="670"/>
      <c r="K564" s="670"/>
      <c r="L564" s="670"/>
      <c r="M564" s="670"/>
      <c r="N564" s="670"/>
      <c r="O564" s="670"/>
      <c r="P564" s="670"/>
      <c r="Q564" s="670"/>
      <c r="R564" s="670"/>
      <c r="S564" s="670"/>
      <c r="T564" s="670"/>
      <c r="U564" s="670"/>
      <c r="V564" s="670"/>
      <c r="W564" s="670"/>
    </row>
    <row r="565" spans="1:23" ht="12.75" customHeight="1" x14ac:dyDescent="0.25">
      <c r="A565" s="670"/>
      <c r="B565" s="670"/>
      <c r="C565" s="670"/>
      <c r="D565" s="670"/>
      <c r="E565" s="670"/>
      <c r="F565" s="670"/>
      <c r="G565" s="670"/>
      <c r="H565" s="670"/>
      <c r="I565" s="670"/>
      <c r="J565" s="670"/>
      <c r="K565" s="670"/>
      <c r="L565" s="670"/>
      <c r="M565" s="670"/>
      <c r="N565" s="670"/>
      <c r="O565" s="670"/>
      <c r="P565" s="670"/>
      <c r="Q565" s="670"/>
      <c r="R565" s="670"/>
      <c r="S565" s="670"/>
      <c r="T565" s="670"/>
      <c r="U565" s="670"/>
      <c r="V565" s="670"/>
      <c r="W565" s="670"/>
    </row>
    <row r="566" spans="1:23" ht="12.75" customHeight="1" x14ac:dyDescent="0.25">
      <c r="A566" s="670"/>
      <c r="B566" s="670"/>
      <c r="C566" s="670"/>
      <c r="D566" s="670"/>
      <c r="E566" s="670"/>
      <c r="F566" s="670"/>
      <c r="G566" s="670"/>
      <c r="H566" s="670"/>
      <c r="I566" s="670"/>
      <c r="J566" s="670"/>
      <c r="K566" s="670"/>
      <c r="L566" s="670"/>
      <c r="M566" s="670"/>
      <c r="N566" s="670"/>
      <c r="O566" s="670"/>
      <c r="P566" s="670"/>
      <c r="Q566" s="670"/>
      <c r="R566" s="670"/>
      <c r="S566" s="670"/>
      <c r="T566" s="670"/>
      <c r="U566" s="670"/>
      <c r="V566" s="670"/>
      <c r="W566" s="670"/>
    </row>
    <row r="567" spans="1:23" ht="12.75" customHeight="1" x14ac:dyDescent="0.25">
      <c r="A567" s="670"/>
      <c r="B567" s="670"/>
      <c r="C567" s="670"/>
      <c r="D567" s="670"/>
      <c r="E567" s="670"/>
      <c r="F567" s="670"/>
      <c r="G567" s="670"/>
      <c r="H567" s="670"/>
      <c r="I567" s="670"/>
      <c r="J567" s="670"/>
      <c r="K567" s="670"/>
      <c r="L567" s="670"/>
      <c r="M567" s="670"/>
      <c r="N567" s="670"/>
      <c r="O567" s="670"/>
      <c r="P567" s="670"/>
      <c r="Q567" s="670"/>
      <c r="R567" s="670"/>
      <c r="S567" s="670"/>
      <c r="T567" s="670"/>
      <c r="U567" s="670"/>
      <c r="V567" s="670"/>
      <c r="W567" s="670"/>
    </row>
    <row r="568" spans="1:23" ht="12.75" customHeight="1" x14ac:dyDescent="0.25">
      <c r="A568" s="670"/>
      <c r="B568" s="670"/>
      <c r="C568" s="670"/>
      <c r="D568" s="670"/>
      <c r="E568" s="670"/>
      <c r="F568" s="670"/>
      <c r="G568" s="670"/>
      <c r="H568" s="670"/>
      <c r="I568" s="670"/>
      <c r="J568" s="670"/>
      <c r="K568" s="670"/>
      <c r="L568" s="670"/>
      <c r="M568" s="670"/>
      <c r="N568" s="670"/>
      <c r="O568" s="670"/>
      <c r="P568" s="670"/>
      <c r="Q568" s="670"/>
      <c r="R568" s="670"/>
      <c r="S568" s="670"/>
      <c r="T568" s="670"/>
      <c r="U568" s="670"/>
      <c r="V568" s="670"/>
      <c r="W568" s="670"/>
    </row>
    <row r="569" spans="1:23" ht="12.75" customHeight="1" x14ac:dyDescent="0.25">
      <c r="A569" s="670"/>
      <c r="B569" s="670"/>
      <c r="C569" s="670"/>
      <c r="D569" s="670"/>
      <c r="E569" s="670"/>
      <c r="F569" s="670"/>
      <c r="G569" s="670"/>
      <c r="H569" s="670"/>
      <c r="I569" s="670"/>
      <c r="J569" s="670"/>
      <c r="K569" s="670"/>
      <c r="L569" s="670"/>
      <c r="M569" s="670"/>
      <c r="N569" s="670"/>
      <c r="O569" s="670"/>
      <c r="P569" s="670"/>
      <c r="Q569" s="670"/>
      <c r="R569" s="670"/>
      <c r="S569" s="670"/>
      <c r="T569" s="670"/>
      <c r="U569" s="670"/>
      <c r="V569" s="670"/>
      <c r="W569" s="670"/>
    </row>
    <row r="570" spans="1:23" ht="12.75" customHeight="1" x14ac:dyDescent="0.25">
      <c r="A570" s="670"/>
      <c r="B570" s="670"/>
      <c r="C570" s="670"/>
      <c r="D570" s="670"/>
      <c r="E570" s="670"/>
      <c r="F570" s="670"/>
      <c r="G570" s="670"/>
      <c r="H570" s="670"/>
      <c r="I570" s="670"/>
      <c r="J570" s="670"/>
      <c r="K570" s="670"/>
      <c r="L570" s="670"/>
      <c r="M570" s="670"/>
      <c r="N570" s="670"/>
      <c r="O570" s="670"/>
      <c r="P570" s="670"/>
      <c r="Q570" s="670"/>
      <c r="R570" s="670"/>
      <c r="S570" s="670"/>
      <c r="T570" s="670"/>
      <c r="U570" s="670"/>
      <c r="V570" s="670"/>
      <c r="W570" s="670"/>
    </row>
    <row r="571" spans="1:23" ht="12.75" customHeight="1" x14ac:dyDescent="0.25">
      <c r="A571" s="670"/>
      <c r="B571" s="670"/>
      <c r="C571" s="670"/>
      <c r="D571" s="670"/>
      <c r="E571" s="670"/>
      <c r="F571" s="670"/>
      <c r="G571" s="670"/>
      <c r="H571" s="670"/>
      <c r="I571" s="670"/>
      <c r="J571" s="670"/>
      <c r="K571" s="670"/>
      <c r="L571" s="670"/>
      <c r="M571" s="670"/>
      <c r="N571" s="670"/>
      <c r="O571" s="670"/>
      <c r="P571" s="670"/>
      <c r="Q571" s="670"/>
      <c r="R571" s="670"/>
      <c r="S571" s="670"/>
      <c r="T571" s="670"/>
      <c r="U571" s="670"/>
      <c r="V571" s="670"/>
      <c r="W571" s="670"/>
    </row>
    <row r="572" spans="1:23" ht="12.75" customHeight="1" x14ac:dyDescent="0.25">
      <c r="A572" s="670"/>
      <c r="B572" s="670"/>
      <c r="C572" s="670"/>
      <c r="D572" s="670"/>
      <c r="E572" s="670"/>
      <c r="F572" s="670"/>
      <c r="G572" s="670"/>
      <c r="H572" s="670"/>
      <c r="I572" s="670"/>
      <c r="J572" s="670"/>
      <c r="K572" s="670"/>
      <c r="L572" s="670"/>
      <c r="M572" s="670"/>
      <c r="N572" s="670"/>
      <c r="O572" s="670"/>
      <c r="P572" s="670"/>
      <c r="Q572" s="670"/>
      <c r="R572" s="670"/>
      <c r="S572" s="670"/>
      <c r="T572" s="670"/>
      <c r="U572" s="670"/>
      <c r="V572" s="670"/>
      <c r="W572" s="670"/>
    </row>
    <row r="573" spans="1:23" ht="12.75" customHeight="1" x14ac:dyDescent="0.25">
      <c r="A573" s="670"/>
      <c r="B573" s="670"/>
      <c r="C573" s="670"/>
      <c r="D573" s="670"/>
      <c r="E573" s="670"/>
      <c r="F573" s="670"/>
      <c r="G573" s="670"/>
      <c r="H573" s="670"/>
      <c r="I573" s="670"/>
      <c r="J573" s="670"/>
      <c r="K573" s="670"/>
      <c r="L573" s="670"/>
      <c r="M573" s="670"/>
      <c r="N573" s="670"/>
      <c r="O573" s="670"/>
      <c r="P573" s="670"/>
      <c r="Q573" s="670"/>
      <c r="R573" s="670"/>
      <c r="S573" s="670"/>
      <c r="T573" s="670"/>
      <c r="U573" s="670"/>
      <c r="V573" s="670"/>
      <c r="W573" s="670"/>
    </row>
    <row r="574" spans="1:23" ht="12.75" customHeight="1" x14ac:dyDescent="0.25">
      <c r="A574" s="670"/>
      <c r="B574" s="670"/>
      <c r="C574" s="670"/>
      <c r="D574" s="670"/>
      <c r="E574" s="670"/>
      <c r="F574" s="670"/>
      <c r="G574" s="670"/>
      <c r="H574" s="670"/>
      <c r="I574" s="670"/>
      <c r="J574" s="670"/>
      <c r="K574" s="670"/>
      <c r="L574" s="670"/>
      <c r="M574" s="670"/>
      <c r="N574" s="670"/>
      <c r="O574" s="670"/>
      <c r="P574" s="670"/>
      <c r="Q574" s="670"/>
      <c r="R574" s="670"/>
      <c r="S574" s="670"/>
      <c r="T574" s="670"/>
      <c r="U574" s="670"/>
      <c r="V574" s="670"/>
      <c r="W574" s="670"/>
    </row>
    <row r="575" spans="1:23" ht="12.75" customHeight="1" x14ac:dyDescent="0.25">
      <c r="A575" s="670"/>
      <c r="B575" s="670"/>
      <c r="C575" s="670"/>
      <c r="D575" s="670"/>
      <c r="E575" s="670"/>
      <c r="F575" s="670"/>
      <c r="G575" s="670"/>
      <c r="H575" s="670"/>
      <c r="I575" s="670"/>
      <c r="J575" s="670"/>
      <c r="K575" s="670"/>
      <c r="L575" s="670"/>
      <c r="M575" s="670"/>
      <c r="N575" s="670"/>
      <c r="O575" s="670"/>
      <c r="P575" s="670"/>
      <c r="Q575" s="670"/>
      <c r="R575" s="670"/>
      <c r="S575" s="670"/>
      <c r="T575" s="670"/>
      <c r="U575" s="670"/>
      <c r="V575" s="670"/>
      <c r="W575" s="670"/>
    </row>
    <row r="576" spans="1:23" ht="12.75" customHeight="1" x14ac:dyDescent="0.25">
      <c r="A576" s="670"/>
      <c r="B576" s="670"/>
      <c r="C576" s="670"/>
      <c r="D576" s="670"/>
      <c r="E576" s="670"/>
      <c r="F576" s="670"/>
      <c r="G576" s="670"/>
      <c r="H576" s="670"/>
      <c r="I576" s="670"/>
      <c r="J576" s="670"/>
      <c r="K576" s="670"/>
      <c r="L576" s="670"/>
      <c r="M576" s="670"/>
      <c r="N576" s="670"/>
      <c r="O576" s="670"/>
      <c r="P576" s="670"/>
      <c r="Q576" s="670"/>
      <c r="R576" s="670"/>
      <c r="S576" s="670"/>
      <c r="T576" s="670"/>
      <c r="U576" s="670"/>
      <c r="V576" s="670"/>
      <c r="W576" s="670"/>
    </row>
    <row r="577" spans="1:23" ht="12.75" customHeight="1" x14ac:dyDescent="0.25">
      <c r="A577" s="670"/>
      <c r="B577" s="670"/>
      <c r="C577" s="670"/>
      <c r="D577" s="670"/>
      <c r="E577" s="670"/>
      <c r="F577" s="670"/>
      <c r="G577" s="670"/>
      <c r="H577" s="670"/>
      <c r="I577" s="670"/>
      <c r="J577" s="670"/>
      <c r="K577" s="670"/>
      <c r="L577" s="670"/>
      <c r="M577" s="670"/>
      <c r="N577" s="670"/>
      <c r="O577" s="670"/>
      <c r="P577" s="670"/>
      <c r="Q577" s="670"/>
      <c r="R577" s="670"/>
      <c r="S577" s="670"/>
      <c r="T577" s="670"/>
      <c r="U577" s="670"/>
      <c r="V577" s="670"/>
      <c r="W577" s="670"/>
    </row>
    <row r="578" spans="1:23" ht="12.75" customHeight="1" x14ac:dyDescent="0.25">
      <c r="A578" s="670"/>
      <c r="B578" s="670"/>
      <c r="C578" s="670"/>
      <c r="D578" s="670"/>
      <c r="E578" s="670"/>
      <c r="F578" s="670"/>
      <c r="G578" s="670"/>
      <c r="H578" s="670"/>
      <c r="I578" s="670"/>
      <c r="J578" s="670"/>
      <c r="K578" s="670"/>
      <c r="L578" s="670"/>
      <c r="M578" s="670"/>
      <c r="N578" s="670"/>
      <c r="O578" s="670"/>
      <c r="P578" s="670"/>
      <c r="Q578" s="670"/>
      <c r="R578" s="670"/>
      <c r="S578" s="670"/>
      <c r="T578" s="670"/>
      <c r="U578" s="670"/>
      <c r="V578" s="670"/>
      <c r="W578" s="670"/>
    </row>
    <row r="579" spans="1:23" ht="12.75" customHeight="1" x14ac:dyDescent="0.25">
      <c r="A579" s="670"/>
      <c r="B579" s="670"/>
      <c r="C579" s="670"/>
      <c r="D579" s="670"/>
      <c r="E579" s="670"/>
      <c r="F579" s="670"/>
      <c r="G579" s="670"/>
      <c r="H579" s="670"/>
      <c r="I579" s="670"/>
      <c r="J579" s="670"/>
      <c r="K579" s="670"/>
      <c r="L579" s="670"/>
      <c r="M579" s="670"/>
      <c r="N579" s="670"/>
      <c r="O579" s="670"/>
      <c r="P579" s="670"/>
      <c r="Q579" s="670"/>
      <c r="R579" s="670"/>
      <c r="S579" s="670"/>
      <c r="T579" s="670"/>
      <c r="U579" s="670"/>
      <c r="V579" s="670"/>
      <c r="W579" s="670"/>
    </row>
    <row r="580" spans="1:23" ht="12.75" customHeight="1" x14ac:dyDescent="0.25">
      <c r="A580" s="670"/>
      <c r="B580" s="670"/>
      <c r="C580" s="670"/>
      <c r="D580" s="670"/>
      <c r="E580" s="670"/>
      <c r="F580" s="670"/>
      <c r="G580" s="670"/>
      <c r="H580" s="670"/>
      <c r="I580" s="670"/>
      <c r="J580" s="670"/>
      <c r="K580" s="670"/>
      <c r="L580" s="670"/>
      <c r="M580" s="670"/>
      <c r="N580" s="670"/>
      <c r="O580" s="670"/>
      <c r="P580" s="670"/>
      <c r="Q580" s="670"/>
      <c r="R580" s="670"/>
      <c r="S580" s="670"/>
      <c r="T580" s="670"/>
      <c r="U580" s="670"/>
      <c r="V580" s="670"/>
      <c r="W580" s="670"/>
    </row>
    <row r="581" spans="1:23" ht="12.75" customHeight="1" x14ac:dyDescent="0.25">
      <c r="A581" s="670"/>
      <c r="B581" s="670"/>
      <c r="C581" s="670"/>
      <c r="D581" s="670"/>
      <c r="E581" s="670"/>
      <c r="F581" s="670"/>
      <c r="G581" s="670"/>
      <c r="H581" s="670"/>
      <c r="I581" s="670"/>
      <c r="J581" s="670"/>
      <c r="K581" s="670"/>
      <c r="L581" s="670"/>
      <c r="M581" s="670"/>
      <c r="N581" s="670"/>
      <c r="O581" s="670"/>
      <c r="P581" s="670"/>
      <c r="Q581" s="670"/>
      <c r="R581" s="670"/>
      <c r="S581" s="670"/>
      <c r="T581" s="670"/>
      <c r="U581" s="670"/>
      <c r="V581" s="670"/>
      <c r="W581" s="670"/>
    </row>
    <row r="582" spans="1:23" ht="12.75" customHeight="1" x14ac:dyDescent="0.25">
      <c r="A582" s="670"/>
      <c r="B582" s="670"/>
      <c r="C582" s="670"/>
      <c r="D582" s="670"/>
      <c r="E582" s="670"/>
      <c r="F582" s="670"/>
      <c r="G582" s="670"/>
      <c r="H582" s="670"/>
      <c r="I582" s="670"/>
      <c r="J582" s="670"/>
      <c r="K582" s="670"/>
      <c r="L582" s="670"/>
      <c r="M582" s="670"/>
      <c r="N582" s="670"/>
      <c r="O582" s="670"/>
      <c r="P582" s="670"/>
      <c r="Q582" s="670"/>
      <c r="R582" s="670"/>
      <c r="S582" s="670"/>
      <c r="T582" s="670"/>
      <c r="U582" s="670"/>
      <c r="V582" s="670"/>
      <c r="W582" s="670"/>
    </row>
    <row r="583" spans="1:23" ht="12.75" customHeight="1" x14ac:dyDescent="0.25">
      <c r="A583" s="670"/>
      <c r="B583" s="670"/>
      <c r="C583" s="670"/>
      <c r="D583" s="670"/>
      <c r="E583" s="670"/>
      <c r="F583" s="670"/>
      <c r="G583" s="670"/>
      <c r="H583" s="670"/>
      <c r="I583" s="670"/>
      <c r="J583" s="670"/>
      <c r="K583" s="670"/>
      <c r="L583" s="670"/>
      <c r="M583" s="670"/>
      <c r="N583" s="670"/>
      <c r="O583" s="670"/>
      <c r="P583" s="670"/>
      <c r="Q583" s="670"/>
      <c r="R583" s="670"/>
      <c r="S583" s="670"/>
      <c r="T583" s="670"/>
      <c r="U583" s="670"/>
      <c r="V583" s="670"/>
      <c r="W583" s="670"/>
    </row>
    <row r="584" spans="1:23" ht="12.75" customHeight="1" x14ac:dyDescent="0.25">
      <c r="A584" s="670"/>
      <c r="B584" s="670"/>
      <c r="C584" s="670"/>
      <c r="D584" s="670"/>
      <c r="E584" s="670"/>
      <c r="F584" s="670"/>
      <c r="G584" s="670"/>
      <c r="H584" s="670"/>
      <c r="I584" s="670"/>
      <c r="J584" s="670"/>
      <c r="K584" s="670"/>
      <c r="L584" s="670"/>
      <c r="M584" s="670"/>
      <c r="N584" s="670"/>
      <c r="O584" s="670"/>
      <c r="P584" s="670"/>
      <c r="Q584" s="670"/>
      <c r="R584" s="670"/>
      <c r="S584" s="670"/>
      <c r="T584" s="670"/>
      <c r="U584" s="670"/>
      <c r="V584" s="670"/>
      <c r="W584" s="670"/>
    </row>
    <row r="585" spans="1:23" ht="12.75" customHeight="1" x14ac:dyDescent="0.25">
      <c r="A585" s="670"/>
      <c r="B585" s="670"/>
      <c r="C585" s="670"/>
      <c r="D585" s="670"/>
      <c r="E585" s="670"/>
      <c r="F585" s="670"/>
      <c r="G585" s="670"/>
      <c r="H585" s="670"/>
      <c r="I585" s="670"/>
      <c r="J585" s="670"/>
      <c r="K585" s="670"/>
      <c r="L585" s="670"/>
      <c r="M585" s="670"/>
      <c r="N585" s="670"/>
      <c r="O585" s="670"/>
      <c r="P585" s="670"/>
      <c r="Q585" s="670"/>
      <c r="R585" s="670"/>
      <c r="S585" s="670"/>
      <c r="T585" s="670"/>
      <c r="U585" s="670"/>
      <c r="V585" s="670"/>
      <c r="W585" s="670"/>
    </row>
    <row r="586" spans="1:23" ht="12.75" customHeight="1" x14ac:dyDescent="0.25">
      <c r="A586" s="670"/>
      <c r="B586" s="670"/>
      <c r="C586" s="670"/>
      <c r="D586" s="670"/>
      <c r="E586" s="670"/>
      <c r="F586" s="670"/>
      <c r="G586" s="670"/>
      <c r="H586" s="670"/>
      <c r="I586" s="670"/>
      <c r="J586" s="670"/>
      <c r="K586" s="670"/>
      <c r="L586" s="670"/>
      <c r="M586" s="670"/>
      <c r="N586" s="670"/>
      <c r="O586" s="670"/>
      <c r="P586" s="670"/>
      <c r="Q586" s="670"/>
      <c r="R586" s="670"/>
      <c r="S586" s="670"/>
      <c r="T586" s="670"/>
      <c r="U586" s="670"/>
      <c r="V586" s="670"/>
      <c r="W586" s="670"/>
    </row>
    <row r="587" spans="1:23" ht="12.75" customHeight="1" x14ac:dyDescent="0.25">
      <c r="A587" s="670"/>
      <c r="B587" s="670"/>
      <c r="C587" s="670"/>
      <c r="D587" s="670"/>
      <c r="E587" s="670"/>
      <c r="F587" s="670"/>
      <c r="G587" s="670"/>
      <c r="H587" s="670"/>
      <c r="I587" s="670"/>
      <c r="J587" s="670"/>
      <c r="K587" s="670"/>
      <c r="L587" s="670"/>
      <c r="M587" s="670"/>
      <c r="N587" s="670"/>
      <c r="O587" s="670"/>
      <c r="P587" s="670"/>
      <c r="Q587" s="670"/>
      <c r="R587" s="670"/>
      <c r="S587" s="670"/>
      <c r="T587" s="670"/>
      <c r="U587" s="670"/>
      <c r="V587" s="670"/>
      <c r="W587" s="670"/>
    </row>
    <row r="588" spans="1:23" ht="12.75" customHeight="1" x14ac:dyDescent="0.25">
      <c r="A588" s="670"/>
      <c r="B588" s="670"/>
      <c r="C588" s="670"/>
      <c r="D588" s="670"/>
      <c r="E588" s="670"/>
      <c r="F588" s="670"/>
      <c r="G588" s="670"/>
      <c r="H588" s="670"/>
      <c r="I588" s="670"/>
      <c r="J588" s="670"/>
      <c r="K588" s="670"/>
      <c r="L588" s="670"/>
      <c r="M588" s="670"/>
      <c r="N588" s="670"/>
      <c r="O588" s="670"/>
      <c r="P588" s="670"/>
      <c r="Q588" s="670"/>
      <c r="R588" s="670"/>
      <c r="S588" s="670"/>
      <c r="T588" s="670"/>
      <c r="U588" s="670"/>
      <c r="V588" s="670"/>
      <c r="W588" s="670"/>
    </row>
    <row r="589" spans="1:23" ht="12.75" customHeight="1" x14ac:dyDescent="0.25">
      <c r="A589" s="670"/>
      <c r="B589" s="670"/>
      <c r="C589" s="670"/>
      <c r="D589" s="670"/>
      <c r="E589" s="670"/>
      <c r="F589" s="670"/>
      <c r="G589" s="670"/>
      <c r="H589" s="670"/>
      <c r="I589" s="670"/>
      <c r="J589" s="670"/>
      <c r="K589" s="670"/>
      <c r="L589" s="670"/>
      <c r="M589" s="670"/>
      <c r="N589" s="670"/>
      <c r="O589" s="670"/>
      <c r="P589" s="670"/>
      <c r="Q589" s="670"/>
      <c r="R589" s="670"/>
      <c r="S589" s="670"/>
      <c r="T589" s="670"/>
      <c r="U589" s="670"/>
      <c r="V589" s="670"/>
      <c r="W589" s="670"/>
    </row>
    <row r="590" spans="1:23" ht="12.75" customHeight="1" x14ac:dyDescent="0.25">
      <c r="A590" s="670"/>
      <c r="B590" s="670"/>
      <c r="C590" s="670"/>
      <c r="D590" s="670"/>
      <c r="E590" s="670"/>
      <c r="F590" s="670"/>
      <c r="G590" s="670"/>
      <c r="H590" s="670"/>
      <c r="I590" s="670"/>
      <c r="J590" s="670"/>
      <c r="K590" s="670"/>
      <c r="L590" s="670"/>
      <c r="M590" s="670"/>
      <c r="N590" s="670"/>
      <c r="O590" s="670"/>
      <c r="P590" s="670"/>
      <c r="Q590" s="670"/>
      <c r="R590" s="670"/>
      <c r="S590" s="670"/>
      <c r="T590" s="670"/>
      <c r="U590" s="670"/>
      <c r="V590" s="670"/>
      <c r="W590" s="670"/>
    </row>
    <row r="591" spans="1:23" ht="12.75" customHeight="1" x14ac:dyDescent="0.25">
      <c r="A591" s="670"/>
      <c r="B591" s="670"/>
      <c r="C591" s="670"/>
      <c r="D591" s="670"/>
      <c r="E591" s="670"/>
      <c r="F591" s="670"/>
      <c r="G591" s="670"/>
      <c r="H591" s="670"/>
      <c r="I591" s="670"/>
      <c r="J591" s="670"/>
      <c r="K591" s="670"/>
      <c r="L591" s="670"/>
      <c r="M591" s="670"/>
      <c r="N591" s="670"/>
      <c r="O591" s="670"/>
      <c r="P591" s="670"/>
      <c r="Q591" s="670"/>
      <c r="R591" s="670"/>
      <c r="S591" s="670"/>
      <c r="T591" s="670"/>
      <c r="U591" s="670"/>
      <c r="V591" s="670"/>
      <c r="W591" s="670"/>
    </row>
    <row r="592" spans="1:23" ht="12.75" customHeight="1" x14ac:dyDescent="0.25">
      <c r="A592" s="670"/>
      <c r="B592" s="670"/>
      <c r="C592" s="670"/>
      <c r="D592" s="670"/>
      <c r="E592" s="670"/>
      <c r="F592" s="670"/>
      <c r="G592" s="670"/>
      <c r="H592" s="670"/>
      <c r="I592" s="670"/>
      <c r="J592" s="670"/>
      <c r="K592" s="670"/>
      <c r="L592" s="670"/>
      <c r="M592" s="670"/>
      <c r="N592" s="670"/>
      <c r="O592" s="670"/>
      <c r="P592" s="670"/>
      <c r="Q592" s="670"/>
      <c r="R592" s="670"/>
      <c r="S592" s="670"/>
      <c r="T592" s="670"/>
      <c r="U592" s="670"/>
      <c r="V592" s="670"/>
      <c r="W592" s="670"/>
    </row>
    <row r="593" spans="1:23" ht="12.75" customHeight="1" x14ac:dyDescent="0.25">
      <c r="A593" s="670"/>
      <c r="B593" s="670"/>
      <c r="C593" s="670"/>
      <c r="D593" s="670"/>
      <c r="E593" s="670"/>
      <c r="F593" s="670"/>
      <c r="G593" s="670"/>
      <c r="H593" s="670"/>
      <c r="I593" s="670"/>
      <c r="J593" s="670"/>
      <c r="K593" s="670"/>
      <c r="L593" s="670"/>
      <c r="M593" s="670"/>
      <c r="N593" s="670"/>
      <c r="O593" s="670"/>
      <c r="P593" s="670"/>
      <c r="Q593" s="670"/>
      <c r="R593" s="670"/>
      <c r="S593" s="670"/>
      <c r="T593" s="670"/>
      <c r="U593" s="670"/>
      <c r="V593" s="670"/>
      <c r="W593" s="670"/>
    </row>
    <row r="594" spans="1:23" ht="12.75" customHeight="1" x14ac:dyDescent="0.25">
      <c r="A594" s="670"/>
      <c r="B594" s="670"/>
      <c r="C594" s="670"/>
      <c r="D594" s="670"/>
      <c r="E594" s="670"/>
      <c r="F594" s="670"/>
      <c r="G594" s="670"/>
      <c r="H594" s="670"/>
      <c r="I594" s="670"/>
      <c r="J594" s="670"/>
      <c r="K594" s="670"/>
      <c r="L594" s="670"/>
      <c r="M594" s="670"/>
      <c r="N594" s="670"/>
      <c r="O594" s="670"/>
      <c r="P594" s="670"/>
      <c r="Q594" s="670"/>
      <c r="R594" s="670"/>
      <c r="S594" s="670"/>
      <c r="T594" s="670"/>
      <c r="U594" s="670"/>
      <c r="V594" s="670"/>
      <c r="W594" s="670"/>
    </row>
    <row r="595" spans="1:23" ht="12.75" customHeight="1" x14ac:dyDescent="0.25">
      <c r="A595" s="670"/>
      <c r="B595" s="670"/>
      <c r="C595" s="670"/>
      <c r="D595" s="670"/>
      <c r="E595" s="670"/>
      <c r="F595" s="670"/>
      <c r="G595" s="670"/>
      <c r="H595" s="670"/>
      <c r="I595" s="670"/>
      <c r="J595" s="670"/>
      <c r="K595" s="670"/>
      <c r="L595" s="670"/>
      <c r="M595" s="670"/>
      <c r="N595" s="670"/>
      <c r="O595" s="670"/>
      <c r="P595" s="670"/>
      <c r="Q595" s="670"/>
      <c r="R595" s="670"/>
      <c r="S595" s="670"/>
      <c r="T595" s="670"/>
      <c r="U595" s="670"/>
      <c r="V595" s="670"/>
      <c r="W595" s="670"/>
    </row>
    <row r="596" spans="1:23" ht="12.75" customHeight="1" x14ac:dyDescent="0.25">
      <c r="A596" s="670"/>
      <c r="B596" s="670"/>
      <c r="C596" s="670"/>
      <c r="D596" s="670"/>
      <c r="E596" s="670"/>
      <c r="F596" s="670"/>
      <c r="G596" s="670"/>
      <c r="H596" s="670"/>
      <c r="I596" s="670"/>
      <c r="J596" s="670"/>
      <c r="K596" s="670"/>
      <c r="L596" s="670"/>
      <c r="M596" s="670"/>
      <c r="N596" s="670"/>
      <c r="O596" s="670"/>
      <c r="P596" s="670"/>
      <c r="Q596" s="670"/>
      <c r="R596" s="670"/>
      <c r="S596" s="670"/>
      <c r="T596" s="670"/>
      <c r="U596" s="670"/>
      <c r="V596" s="670"/>
      <c r="W596" s="670"/>
    </row>
    <row r="597" spans="1:23" ht="12.75" customHeight="1" x14ac:dyDescent="0.25">
      <c r="A597" s="670"/>
      <c r="B597" s="670"/>
      <c r="C597" s="670"/>
      <c r="D597" s="670"/>
      <c r="E597" s="670"/>
      <c r="F597" s="670"/>
      <c r="G597" s="670"/>
      <c r="H597" s="670"/>
      <c r="I597" s="670"/>
      <c r="J597" s="670"/>
      <c r="K597" s="670"/>
      <c r="L597" s="670"/>
      <c r="M597" s="670"/>
      <c r="N597" s="670"/>
      <c r="O597" s="670"/>
      <c r="P597" s="670"/>
      <c r="Q597" s="670"/>
      <c r="R597" s="670"/>
      <c r="S597" s="670"/>
      <c r="T597" s="670"/>
      <c r="U597" s="670"/>
      <c r="V597" s="670"/>
      <c r="W597" s="670"/>
    </row>
    <row r="598" spans="1:23" ht="12.75" customHeight="1" x14ac:dyDescent="0.25">
      <c r="A598" s="670"/>
      <c r="B598" s="670"/>
      <c r="C598" s="670"/>
      <c r="D598" s="670"/>
      <c r="E598" s="670"/>
      <c r="F598" s="670"/>
      <c r="G598" s="670"/>
      <c r="H598" s="670"/>
      <c r="I598" s="670"/>
      <c r="J598" s="670"/>
      <c r="K598" s="670"/>
      <c r="L598" s="670"/>
      <c r="M598" s="670"/>
      <c r="N598" s="670"/>
      <c r="O598" s="670"/>
      <c r="P598" s="670"/>
      <c r="Q598" s="670"/>
      <c r="R598" s="670"/>
      <c r="S598" s="670"/>
      <c r="T598" s="670"/>
      <c r="U598" s="670"/>
      <c r="V598" s="670"/>
      <c r="W598" s="670"/>
    </row>
    <row r="599" spans="1:23" ht="12.75" customHeight="1" x14ac:dyDescent="0.25">
      <c r="A599" s="670"/>
      <c r="B599" s="670"/>
      <c r="C599" s="670"/>
      <c r="D599" s="670"/>
      <c r="E599" s="670"/>
      <c r="F599" s="670"/>
      <c r="G599" s="670"/>
      <c r="H599" s="670"/>
      <c r="I599" s="670"/>
      <c r="J599" s="670"/>
      <c r="K599" s="670"/>
      <c r="L599" s="670"/>
      <c r="M599" s="670"/>
      <c r="N599" s="670"/>
      <c r="O599" s="670"/>
      <c r="P599" s="670"/>
      <c r="Q599" s="670"/>
      <c r="R599" s="670"/>
      <c r="S599" s="670"/>
      <c r="T599" s="670"/>
      <c r="U599" s="670"/>
      <c r="V599" s="670"/>
      <c r="W599" s="670"/>
    </row>
    <row r="600" spans="1:23" ht="12.75" customHeight="1" x14ac:dyDescent="0.25">
      <c r="A600" s="670"/>
      <c r="B600" s="670"/>
      <c r="C600" s="670"/>
      <c r="D600" s="670"/>
      <c r="E600" s="670"/>
      <c r="F600" s="670"/>
      <c r="G600" s="670"/>
      <c r="H600" s="670"/>
      <c r="I600" s="670"/>
      <c r="J600" s="670"/>
      <c r="K600" s="670"/>
      <c r="L600" s="670"/>
      <c r="M600" s="670"/>
      <c r="N600" s="670"/>
      <c r="O600" s="670"/>
      <c r="P600" s="670"/>
      <c r="Q600" s="670"/>
      <c r="R600" s="670"/>
      <c r="S600" s="670"/>
      <c r="T600" s="670"/>
      <c r="U600" s="670"/>
      <c r="V600" s="670"/>
      <c r="W600" s="670"/>
    </row>
    <row r="601" spans="1:23" ht="12.75" customHeight="1" x14ac:dyDescent="0.25">
      <c r="A601" s="670"/>
      <c r="B601" s="670"/>
      <c r="C601" s="670"/>
      <c r="D601" s="670"/>
      <c r="E601" s="670"/>
      <c r="F601" s="670"/>
      <c r="G601" s="670"/>
      <c r="H601" s="670"/>
      <c r="I601" s="670"/>
      <c r="J601" s="670"/>
      <c r="K601" s="670"/>
      <c r="L601" s="670"/>
      <c r="M601" s="670"/>
      <c r="N601" s="670"/>
      <c r="O601" s="670"/>
      <c r="P601" s="670"/>
      <c r="Q601" s="670"/>
      <c r="R601" s="670"/>
      <c r="S601" s="670"/>
      <c r="T601" s="670"/>
      <c r="U601" s="670"/>
      <c r="V601" s="670"/>
      <c r="W601" s="670"/>
    </row>
    <row r="602" spans="1:23" ht="12.75" customHeight="1" x14ac:dyDescent="0.25">
      <c r="A602" s="670"/>
      <c r="B602" s="670"/>
      <c r="C602" s="670"/>
      <c r="D602" s="670"/>
      <c r="E602" s="670"/>
      <c r="F602" s="670"/>
      <c r="G602" s="670"/>
      <c r="H602" s="670"/>
      <c r="I602" s="670"/>
      <c r="J602" s="670"/>
      <c r="K602" s="670"/>
      <c r="L602" s="670"/>
      <c r="M602" s="670"/>
      <c r="N602" s="670"/>
      <c r="O602" s="670"/>
      <c r="P602" s="670"/>
      <c r="Q602" s="670"/>
      <c r="R602" s="670"/>
      <c r="S602" s="670"/>
      <c r="T602" s="670"/>
      <c r="U602" s="670"/>
      <c r="V602" s="670"/>
      <c r="W602" s="670"/>
    </row>
    <row r="603" spans="1:23" ht="12.75" customHeight="1" x14ac:dyDescent="0.25">
      <c r="A603" s="670"/>
      <c r="B603" s="670"/>
      <c r="C603" s="670"/>
      <c r="D603" s="670"/>
      <c r="E603" s="670"/>
      <c r="F603" s="670"/>
      <c r="G603" s="670"/>
      <c r="H603" s="670"/>
      <c r="I603" s="670"/>
      <c r="J603" s="670"/>
      <c r="K603" s="670"/>
      <c r="L603" s="670"/>
      <c r="M603" s="670"/>
      <c r="N603" s="670"/>
      <c r="O603" s="670"/>
      <c r="P603" s="670"/>
      <c r="Q603" s="670"/>
      <c r="R603" s="670"/>
      <c r="S603" s="670"/>
      <c r="T603" s="670"/>
      <c r="U603" s="670"/>
      <c r="V603" s="670"/>
      <c r="W603" s="670"/>
    </row>
    <row r="604" spans="1:23" ht="12.75" customHeight="1" x14ac:dyDescent="0.25">
      <c r="A604" s="670"/>
      <c r="B604" s="670"/>
      <c r="C604" s="670"/>
      <c r="D604" s="670"/>
      <c r="E604" s="670"/>
      <c r="F604" s="670"/>
      <c r="G604" s="670"/>
      <c r="H604" s="670"/>
      <c r="I604" s="670"/>
      <c r="J604" s="670"/>
      <c r="K604" s="670"/>
      <c r="L604" s="670"/>
      <c r="M604" s="670"/>
      <c r="N604" s="670"/>
      <c r="O604" s="670"/>
      <c r="P604" s="670"/>
      <c r="Q604" s="670"/>
      <c r="R604" s="670"/>
      <c r="S604" s="670"/>
      <c r="T604" s="670"/>
      <c r="U604" s="670"/>
      <c r="V604" s="670"/>
      <c r="W604" s="670"/>
    </row>
    <row r="605" spans="1:23" ht="12.75" customHeight="1" x14ac:dyDescent="0.25">
      <c r="A605" s="670"/>
      <c r="B605" s="670"/>
      <c r="C605" s="670"/>
      <c r="D605" s="670"/>
      <c r="E605" s="670"/>
      <c r="F605" s="670"/>
      <c r="G605" s="670"/>
      <c r="H605" s="670"/>
      <c r="I605" s="670"/>
      <c r="J605" s="670"/>
      <c r="K605" s="670"/>
      <c r="L605" s="670"/>
      <c r="M605" s="670"/>
      <c r="N605" s="670"/>
      <c r="O605" s="670"/>
      <c r="P605" s="670"/>
      <c r="Q605" s="670"/>
      <c r="R605" s="670"/>
      <c r="S605" s="670"/>
      <c r="T605" s="670"/>
      <c r="U605" s="670"/>
      <c r="V605" s="670"/>
      <c r="W605" s="670"/>
    </row>
    <row r="606" spans="1:23" ht="12.75" customHeight="1" x14ac:dyDescent="0.25">
      <c r="A606" s="670"/>
      <c r="B606" s="670"/>
      <c r="C606" s="670"/>
      <c r="D606" s="670"/>
      <c r="E606" s="670"/>
      <c r="F606" s="670"/>
      <c r="G606" s="670"/>
      <c r="H606" s="670"/>
      <c r="I606" s="670"/>
      <c r="J606" s="670"/>
      <c r="K606" s="670"/>
      <c r="L606" s="670"/>
      <c r="M606" s="670"/>
      <c r="N606" s="670"/>
      <c r="O606" s="670"/>
      <c r="P606" s="670"/>
      <c r="Q606" s="670"/>
      <c r="R606" s="670"/>
      <c r="S606" s="670"/>
      <c r="T606" s="670"/>
      <c r="U606" s="670"/>
      <c r="V606" s="670"/>
      <c r="W606" s="670"/>
    </row>
    <row r="607" spans="1:23" ht="12.75" customHeight="1" x14ac:dyDescent="0.25">
      <c r="A607" s="670"/>
      <c r="B607" s="670"/>
      <c r="C607" s="670"/>
      <c r="D607" s="670"/>
      <c r="E607" s="670"/>
      <c r="F607" s="670"/>
      <c r="G607" s="670"/>
      <c r="H607" s="670"/>
      <c r="I607" s="670"/>
      <c r="J607" s="670"/>
      <c r="K607" s="670"/>
      <c r="L607" s="670"/>
      <c r="M607" s="670"/>
      <c r="N607" s="670"/>
      <c r="O607" s="670"/>
      <c r="P607" s="670"/>
      <c r="Q607" s="670"/>
      <c r="R607" s="670"/>
      <c r="S607" s="670"/>
      <c r="T607" s="670"/>
      <c r="U607" s="670"/>
      <c r="V607" s="670"/>
      <c r="W607" s="670"/>
    </row>
    <row r="608" spans="1:23" ht="12.75" customHeight="1" x14ac:dyDescent="0.25">
      <c r="A608" s="670"/>
      <c r="B608" s="670"/>
      <c r="C608" s="670"/>
      <c r="D608" s="670"/>
      <c r="E608" s="670"/>
      <c r="F608" s="670"/>
      <c r="G608" s="670"/>
      <c r="H608" s="670"/>
      <c r="I608" s="670"/>
      <c r="J608" s="670"/>
      <c r="K608" s="670"/>
      <c r="L608" s="670"/>
      <c r="M608" s="670"/>
      <c r="N608" s="670"/>
      <c r="O608" s="670"/>
      <c r="P608" s="670"/>
      <c r="Q608" s="670"/>
      <c r="R608" s="670"/>
      <c r="S608" s="670"/>
      <c r="T608" s="670"/>
      <c r="U608" s="670"/>
      <c r="V608" s="670"/>
      <c r="W608" s="670"/>
    </row>
    <row r="609" spans="1:23" ht="12.75" customHeight="1" x14ac:dyDescent="0.25">
      <c r="A609" s="670"/>
      <c r="B609" s="670"/>
      <c r="C609" s="670"/>
      <c r="D609" s="670"/>
      <c r="E609" s="670"/>
      <c r="F609" s="670"/>
      <c r="G609" s="670"/>
      <c r="H609" s="670"/>
      <c r="I609" s="670"/>
      <c r="J609" s="670"/>
      <c r="K609" s="670"/>
      <c r="L609" s="670"/>
      <c r="M609" s="670"/>
      <c r="N609" s="670"/>
      <c r="O609" s="670"/>
      <c r="P609" s="670"/>
      <c r="Q609" s="670"/>
      <c r="R609" s="670"/>
      <c r="S609" s="670"/>
      <c r="T609" s="670"/>
      <c r="U609" s="670"/>
      <c r="V609" s="670"/>
      <c r="W609" s="670"/>
    </row>
    <row r="610" spans="1:23" ht="12.75" customHeight="1" x14ac:dyDescent="0.25">
      <c r="A610" s="670"/>
      <c r="B610" s="670"/>
      <c r="C610" s="670"/>
      <c r="D610" s="670"/>
      <c r="E610" s="670"/>
      <c r="F610" s="670"/>
      <c r="G610" s="670"/>
      <c r="H610" s="670"/>
      <c r="I610" s="670"/>
      <c r="J610" s="670"/>
      <c r="K610" s="670"/>
      <c r="L610" s="670"/>
      <c r="M610" s="670"/>
      <c r="N610" s="670"/>
      <c r="O610" s="670"/>
      <c r="P610" s="670"/>
      <c r="Q610" s="670"/>
      <c r="R610" s="670"/>
      <c r="S610" s="670"/>
      <c r="T610" s="670"/>
      <c r="U610" s="670"/>
      <c r="V610" s="670"/>
      <c r="W610" s="670"/>
    </row>
    <row r="611" spans="1:23" ht="12.75" customHeight="1" x14ac:dyDescent="0.25">
      <c r="A611" s="670"/>
      <c r="B611" s="670"/>
      <c r="C611" s="670"/>
      <c r="D611" s="670"/>
      <c r="E611" s="670"/>
      <c r="F611" s="670"/>
      <c r="G611" s="670"/>
      <c r="H611" s="670"/>
      <c r="I611" s="670"/>
      <c r="J611" s="670"/>
      <c r="K611" s="670"/>
      <c r="L611" s="670"/>
      <c r="M611" s="670"/>
      <c r="N611" s="670"/>
      <c r="O611" s="670"/>
      <c r="P611" s="670"/>
      <c r="Q611" s="670"/>
      <c r="R611" s="670"/>
      <c r="S611" s="670"/>
      <c r="T611" s="670"/>
      <c r="U611" s="670"/>
      <c r="V611" s="670"/>
      <c r="W611" s="670"/>
    </row>
    <row r="612" spans="1:23" ht="12.75" customHeight="1" x14ac:dyDescent="0.25">
      <c r="A612" s="670"/>
      <c r="B612" s="670"/>
      <c r="C612" s="670"/>
      <c r="D612" s="670"/>
      <c r="E612" s="670"/>
      <c r="F612" s="670"/>
      <c r="G612" s="670"/>
      <c r="H612" s="670"/>
      <c r="I612" s="670"/>
      <c r="J612" s="670"/>
      <c r="K612" s="670"/>
      <c r="L612" s="670"/>
      <c r="M612" s="670"/>
      <c r="N612" s="670"/>
      <c r="O612" s="670"/>
      <c r="P612" s="670"/>
      <c r="Q612" s="670"/>
      <c r="R612" s="670"/>
      <c r="S612" s="670"/>
      <c r="T612" s="670"/>
      <c r="U612" s="670"/>
      <c r="V612" s="670"/>
      <c r="W612" s="670"/>
    </row>
    <row r="613" spans="1:23" ht="12.75" customHeight="1" x14ac:dyDescent="0.25">
      <c r="A613" s="670"/>
      <c r="B613" s="670"/>
      <c r="C613" s="670"/>
      <c r="D613" s="670"/>
      <c r="E613" s="670"/>
      <c r="F613" s="670"/>
      <c r="G613" s="670"/>
      <c r="H613" s="670"/>
      <c r="I613" s="670"/>
      <c r="J613" s="670"/>
      <c r="K613" s="670"/>
      <c r="L613" s="670"/>
      <c r="M613" s="670"/>
      <c r="N613" s="670"/>
      <c r="O613" s="670"/>
      <c r="P613" s="670"/>
      <c r="Q613" s="670"/>
      <c r="R613" s="670"/>
      <c r="S613" s="670"/>
      <c r="T613" s="670"/>
      <c r="U613" s="670"/>
      <c r="V613" s="670"/>
      <c r="W613" s="670"/>
    </row>
    <row r="614" spans="1:23" ht="12.75" customHeight="1" x14ac:dyDescent="0.25">
      <c r="A614" s="670"/>
      <c r="B614" s="670"/>
      <c r="C614" s="670"/>
      <c r="D614" s="670"/>
      <c r="E614" s="670"/>
      <c r="F614" s="670"/>
      <c r="G614" s="670"/>
      <c r="H614" s="670"/>
      <c r="I614" s="670"/>
      <c r="J614" s="670"/>
      <c r="K614" s="670"/>
      <c r="L614" s="670"/>
      <c r="M614" s="670"/>
      <c r="N614" s="670"/>
      <c r="O614" s="670"/>
      <c r="P614" s="670"/>
      <c r="Q614" s="670"/>
      <c r="R614" s="670"/>
      <c r="S614" s="670"/>
      <c r="T614" s="670"/>
      <c r="U614" s="670"/>
      <c r="V614" s="670"/>
      <c r="W614" s="670"/>
    </row>
    <row r="615" spans="1:23" ht="12.75" customHeight="1" x14ac:dyDescent="0.25">
      <c r="A615" s="670"/>
      <c r="B615" s="670"/>
      <c r="C615" s="670"/>
      <c r="D615" s="670"/>
      <c r="E615" s="670"/>
      <c r="F615" s="670"/>
      <c r="G615" s="670"/>
      <c r="H615" s="670"/>
      <c r="I615" s="670"/>
      <c r="J615" s="670"/>
      <c r="K615" s="670"/>
      <c r="L615" s="670"/>
      <c r="M615" s="670"/>
      <c r="N615" s="670"/>
      <c r="O615" s="670"/>
      <c r="P615" s="670"/>
      <c r="Q615" s="670"/>
      <c r="R615" s="670"/>
      <c r="S615" s="670"/>
      <c r="T615" s="670"/>
      <c r="U615" s="670"/>
      <c r="V615" s="670"/>
      <c r="W615" s="670"/>
    </row>
    <row r="616" spans="1:23" ht="12.75" customHeight="1" x14ac:dyDescent="0.25">
      <c r="A616" s="670"/>
      <c r="B616" s="670"/>
      <c r="C616" s="670"/>
      <c r="D616" s="670"/>
      <c r="E616" s="670"/>
      <c r="F616" s="670"/>
      <c r="G616" s="670"/>
      <c r="H616" s="670"/>
      <c r="I616" s="670"/>
      <c r="J616" s="670"/>
      <c r="K616" s="670"/>
      <c r="L616" s="670"/>
      <c r="M616" s="670"/>
      <c r="N616" s="670"/>
      <c r="O616" s="670"/>
      <c r="P616" s="670"/>
      <c r="Q616" s="670"/>
      <c r="R616" s="670"/>
      <c r="S616" s="670"/>
      <c r="T616" s="670"/>
      <c r="U616" s="670"/>
      <c r="V616" s="670"/>
      <c r="W616" s="670"/>
    </row>
    <row r="617" spans="1:23" ht="12.75" customHeight="1" x14ac:dyDescent="0.25">
      <c r="A617" s="670"/>
      <c r="B617" s="670"/>
      <c r="C617" s="670"/>
      <c r="D617" s="670"/>
      <c r="E617" s="670"/>
      <c r="F617" s="670"/>
      <c r="G617" s="670"/>
      <c r="H617" s="670"/>
      <c r="I617" s="670"/>
      <c r="J617" s="670"/>
      <c r="K617" s="670"/>
      <c r="L617" s="670"/>
      <c r="M617" s="670"/>
      <c r="N617" s="670"/>
      <c r="O617" s="670"/>
      <c r="P617" s="670"/>
      <c r="Q617" s="670"/>
      <c r="R617" s="670"/>
      <c r="S617" s="670"/>
      <c r="T617" s="670"/>
      <c r="U617" s="670"/>
      <c r="V617" s="670"/>
      <c r="W617" s="670"/>
    </row>
    <row r="618" spans="1:23" ht="12.75" customHeight="1" x14ac:dyDescent="0.25">
      <c r="A618" s="670"/>
      <c r="B618" s="670"/>
      <c r="C618" s="670"/>
      <c r="D618" s="670"/>
      <c r="E618" s="670"/>
      <c r="F618" s="670"/>
      <c r="G618" s="670"/>
      <c r="H618" s="670"/>
      <c r="I618" s="670"/>
      <c r="J618" s="670"/>
      <c r="K618" s="670"/>
      <c r="L618" s="670"/>
      <c r="M618" s="670"/>
      <c r="N618" s="670"/>
      <c r="O618" s="670"/>
      <c r="P618" s="670"/>
      <c r="Q618" s="670"/>
      <c r="R618" s="670"/>
      <c r="S618" s="670"/>
      <c r="T618" s="670"/>
      <c r="U618" s="670"/>
      <c r="V618" s="670"/>
      <c r="W618" s="670"/>
    </row>
    <row r="619" spans="1:23" ht="12.75" customHeight="1" x14ac:dyDescent="0.25">
      <c r="A619" s="670"/>
      <c r="B619" s="670"/>
      <c r="C619" s="670"/>
      <c r="D619" s="670"/>
      <c r="E619" s="670"/>
      <c r="F619" s="670"/>
      <c r="G619" s="670"/>
      <c r="H619" s="670"/>
      <c r="I619" s="670"/>
      <c r="J619" s="670"/>
      <c r="K619" s="670"/>
      <c r="L619" s="670"/>
      <c r="M619" s="670"/>
      <c r="N619" s="670"/>
      <c r="O619" s="670"/>
      <c r="P619" s="670"/>
      <c r="Q619" s="670"/>
      <c r="R619" s="670"/>
      <c r="S619" s="670"/>
      <c r="T619" s="670"/>
      <c r="U619" s="670"/>
      <c r="V619" s="670"/>
      <c r="W619" s="670"/>
    </row>
    <row r="620" spans="1:23" ht="12.75" customHeight="1" x14ac:dyDescent="0.25">
      <c r="A620" s="670"/>
      <c r="B620" s="670"/>
      <c r="C620" s="670"/>
      <c r="D620" s="670"/>
      <c r="E620" s="670"/>
      <c r="F620" s="670"/>
      <c r="G620" s="670"/>
      <c r="H620" s="670"/>
      <c r="I620" s="670"/>
      <c r="J620" s="670"/>
      <c r="K620" s="670"/>
      <c r="L620" s="670"/>
      <c r="M620" s="670"/>
      <c r="N620" s="670"/>
      <c r="O620" s="670"/>
      <c r="P620" s="670"/>
      <c r="Q620" s="670"/>
      <c r="R620" s="670"/>
      <c r="S620" s="670"/>
      <c r="T620" s="670"/>
      <c r="U620" s="670"/>
      <c r="V620" s="670"/>
      <c r="W620" s="670"/>
    </row>
    <row r="621" spans="1:23" ht="12.75" customHeight="1" x14ac:dyDescent="0.25">
      <c r="A621" s="670"/>
      <c r="B621" s="670"/>
      <c r="C621" s="670"/>
      <c r="D621" s="670"/>
      <c r="E621" s="670"/>
      <c r="F621" s="670"/>
      <c r="G621" s="670"/>
      <c r="H621" s="670"/>
      <c r="I621" s="670"/>
      <c r="J621" s="670"/>
      <c r="K621" s="670"/>
      <c r="L621" s="670"/>
      <c r="M621" s="670"/>
      <c r="N621" s="670"/>
      <c r="O621" s="670"/>
      <c r="P621" s="670"/>
      <c r="Q621" s="670"/>
      <c r="R621" s="670"/>
      <c r="S621" s="670"/>
      <c r="T621" s="670"/>
      <c r="U621" s="670"/>
      <c r="V621" s="670"/>
      <c r="W621" s="670"/>
    </row>
    <row r="622" spans="1:23" ht="12.75" customHeight="1" x14ac:dyDescent="0.25">
      <c r="A622" s="670"/>
      <c r="B622" s="670"/>
      <c r="C622" s="670"/>
      <c r="D622" s="670"/>
      <c r="E622" s="670"/>
      <c r="F622" s="670"/>
      <c r="G622" s="670"/>
      <c r="H622" s="670"/>
      <c r="I622" s="670"/>
      <c r="J622" s="670"/>
      <c r="K622" s="670"/>
      <c r="L622" s="670"/>
      <c r="M622" s="670"/>
      <c r="N622" s="670"/>
      <c r="O622" s="670"/>
      <c r="P622" s="670"/>
      <c r="Q622" s="670"/>
      <c r="R622" s="670"/>
      <c r="S622" s="670"/>
      <c r="T622" s="670"/>
      <c r="U622" s="670"/>
      <c r="V622" s="670"/>
      <c r="W622" s="670"/>
    </row>
    <row r="623" spans="1:23" ht="12.75" customHeight="1" x14ac:dyDescent="0.25">
      <c r="A623" s="670"/>
      <c r="B623" s="670"/>
      <c r="C623" s="670"/>
      <c r="D623" s="670"/>
      <c r="E623" s="670"/>
      <c r="F623" s="670"/>
      <c r="G623" s="670"/>
      <c r="H623" s="670"/>
      <c r="I623" s="670"/>
      <c r="J623" s="670"/>
      <c r="K623" s="670"/>
      <c r="L623" s="670"/>
      <c r="M623" s="670"/>
      <c r="N623" s="670"/>
      <c r="O623" s="670"/>
      <c r="P623" s="670"/>
      <c r="Q623" s="670"/>
      <c r="R623" s="670"/>
      <c r="S623" s="670"/>
      <c r="T623" s="670"/>
      <c r="U623" s="670"/>
      <c r="V623" s="670"/>
      <c r="W623" s="670"/>
    </row>
    <row r="624" spans="1:23" ht="12.75" customHeight="1" x14ac:dyDescent="0.25">
      <c r="A624" s="670"/>
      <c r="B624" s="670"/>
      <c r="C624" s="670"/>
      <c r="D624" s="670"/>
      <c r="E624" s="670"/>
      <c r="F624" s="670"/>
      <c r="G624" s="670"/>
      <c r="H624" s="670"/>
      <c r="I624" s="670"/>
      <c r="J624" s="670"/>
      <c r="K624" s="670"/>
      <c r="L624" s="670"/>
      <c r="M624" s="670"/>
      <c r="N624" s="670"/>
      <c r="O624" s="670"/>
      <c r="P624" s="670"/>
      <c r="Q624" s="670"/>
      <c r="R624" s="670"/>
      <c r="S624" s="670"/>
      <c r="T624" s="670"/>
      <c r="U624" s="670"/>
      <c r="V624" s="670"/>
      <c r="W624" s="670"/>
    </row>
    <row r="625" spans="1:23" ht="12.75" customHeight="1" x14ac:dyDescent="0.25">
      <c r="A625" s="670"/>
      <c r="B625" s="670"/>
      <c r="C625" s="670"/>
      <c r="D625" s="670"/>
      <c r="E625" s="670"/>
      <c r="F625" s="670"/>
      <c r="G625" s="670"/>
      <c r="H625" s="670"/>
      <c r="I625" s="670"/>
      <c r="J625" s="670"/>
      <c r="K625" s="670"/>
      <c r="L625" s="670"/>
      <c r="M625" s="670"/>
      <c r="N625" s="670"/>
      <c r="O625" s="670"/>
      <c r="P625" s="670"/>
      <c r="Q625" s="670"/>
      <c r="R625" s="670"/>
      <c r="S625" s="670"/>
      <c r="T625" s="670"/>
      <c r="U625" s="670"/>
      <c r="V625" s="670"/>
      <c r="W625" s="670"/>
    </row>
    <row r="626" spans="1:23" ht="12.75" customHeight="1" x14ac:dyDescent="0.25">
      <c r="A626" s="670"/>
      <c r="B626" s="670"/>
      <c r="C626" s="670"/>
      <c r="D626" s="670"/>
      <c r="E626" s="670"/>
      <c r="F626" s="670"/>
      <c r="G626" s="670"/>
      <c r="H626" s="670"/>
      <c r="I626" s="670"/>
      <c r="J626" s="670"/>
      <c r="K626" s="670"/>
      <c r="L626" s="670"/>
      <c r="M626" s="670"/>
      <c r="N626" s="670"/>
      <c r="O626" s="670"/>
      <c r="P626" s="670"/>
      <c r="Q626" s="670"/>
      <c r="R626" s="670"/>
      <c r="S626" s="670"/>
      <c r="T626" s="670"/>
      <c r="U626" s="670"/>
      <c r="V626" s="670"/>
      <c r="W626" s="670"/>
    </row>
    <row r="627" spans="1:23" ht="12.75" customHeight="1" x14ac:dyDescent="0.25">
      <c r="A627" s="670"/>
      <c r="B627" s="670"/>
      <c r="C627" s="670"/>
      <c r="D627" s="670"/>
      <c r="E627" s="670"/>
      <c r="F627" s="670"/>
      <c r="G627" s="670"/>
      <c r="H627" s="670"/>
      <c r="I627" s="670"/>
      <c r="J627" s="670"/>
      <c r="K627" s="670"/>
      <c r="L627" s="670"/>
      <c r="M627" s="670"/>
      <c r="N627" s="670"/>
      <c r="O627" s="670"/>
      <c r="P627" s="670"/>
      <c r="Q627" s="670"/>
      <c r="R627" s="670"/>
      <c r="S627" s="670"/>
      <c r="T627" s="670"/>
      <c r="U627" s="670"/>
      <c r="V627" s="670"/>
      <c r="W627" s="670"/>
    </row>
    <row r="628" spans="1:23" ht="12.75" customHeight="1" x14ac:dyDescent="0.25">
      <c r="A628" s="670"/>
      <c r="B628" s="670"/>
      <c r="C628" s="670"/>
      <c r="D628" s="670"/>
      <c r="E628" s="670"/>
      <c r="F628" s="670"/>
      <c r="G628" s="670"/>
      <c r="H628" s="670"/>
      <c r="I628" s="670"/>
      <c r="J628" s="670"/>
      <c r="K628" s="670"/>
      <c r="L628" s="670"/>
      <c r="M628" s="670"/>
      <c r="N628" s="670"/>
      <c r="O628" s="670"/>
      <c r="P628" s="670"/>
      <c r="Q628" s="670"/>
      <c r="R628" s="670"/>
      <c r="S628" s="670"/>
      <c r="T628" s="670"/>
      <c r="U628" s="670"/>
      <c r="V628" s="670"/>
      <c r="W628" s="670"/>
    </row>
    <row r="629" spans="1:23" ht="12.75" customHeight="1" x14ac:dyDescent="0.25">
      <c r="A629" s="670"/>
      <c r="B629" s="670"/>
      <c r="C629" s="670"/>
      <c r="D629" s="670"/>
      <c r="E629" s="670"/>
      <c r="F629" s="670"/>
      <c r="G629" s="670"/>
      <c r="H629" s="670"/>
      <c r="I629" s="670"/>
      <c r="J629" s="670"/>
      <c r="K629" s="670"/>
      <c r="L629" s="670"/>
      <c r="M629" s="670"/>
      <c r="N629" s="670"/>
      <c r="O629" s="670"/>
      <c r="P629" s="670"/>
      <c r="Q629" s="670"/>
      <c r="R629" s="670"/>
      <c r="S629" s="670"/>
      <c r="T629" s="670"/>
      <c r="U629" s="670"/>
      <c r="V629" s="670"/>
      <c r="W629" s="670"/>
    </row>
    <row r="630" spans="1:23" ht="12.75" customHeight="1" x14ac:dyDescent="0.25">
      <c r="A630" s="670"/>
      <c r="B630" s="670"/>
      <c r="C630" s="670"/>
      <c r="D630" s="670"/>
      <c r="E630" s="670"/>
      <c r="F630" s="670"/>
      <c r="G630" s="670"/>
      <c r="H630" s="670"/>
      <c r="I630" s="670"/>
      <c r="J630" s="670"/>
      <c r="K630" s="670"/>
      <c r="L630" s="670"/>
      <c r="M630" s="670"/>
      <c r="N630" s="670"/>
      <c r="O630" s="670"/>
      <c r="P630" s="670"/>
      <c r="Q630" s="670"/>
      <c r="R630" s="670"/>
      <c r="S630" s="670"/>
      <c r="T630" s="670"/>
      <c r="U630" s="670"/>
      <c r="V630" s="670"/>
      <c r="W630" s="670"/>
    </row>
    <row r="631" spans="1:23" ht="12.75" customHeight="1" x14ac:dyDescent="0.25">
      <c r="A631" s="670"/>
      <c r="B631" s="670"/>
      <c r="C631" s="670"/>
      <c r="D631" s="670"/>
      <c r="E631" s="670"/>
      <c r="F631" s="670"/>
      <c r="G631" s="670"/>
      <c r="H631" s="670"/>
      <c r="I631" s="670"/>
      <c r="J631" s="670"/>
      <c r="K631" s="670"/>
      <c r="L631" s="670"/>
      <c r="M631" s="670"/>
      <c r="N631" s="670"/>
      <c r="O631" s="670"/>
      <c r="P631" s="670"/>
      <c r="Q631" s="670"/>
      <c r="R631" s="670"/>
      <c r="S631" s="670"/>
      <c r="T631" s="670"/>
      <c r="U631" s="670"/>
      <c r="V631" s="670"/>
      <c r="W631" s="670"/>
    </row>
    <row r="632" spans="1:23" ht="12.75" customHeight="1" x14ac:dyDescent="0.25">
      <c r="A632" s="670"/>
      <c r="B632" s="670"/>
      <c r="C632" s="670"/>
      <c r="D632" s="670"/>
      <c r="E632" s="670"/>
      <c r="F632" s="670"/>
      <c r="G632" s="670"/>
      <c r="H632" s="670"/>
      <c r="I632" s="670"/>
      <c r="J632" s="670"/>
      <c r="K632" s="670"/>
      <c r="L632" s="670"/>
      <c r="M632" s="670"/>
      <c r="N632" s="670"/>
      <c r="O632" s="670"/>
      <c r="P632" s="670"/>
      <c r="Q632" s="670"/>
      <c r="R632" s="670"/>
      <c r="S632" s="670"/>
      <c r="T632" s="670"/>
      <c r="U632" s="670"/>
      <c r="V632" s="670"/>
      <c r="W632" s="670"/>
    </row>
    <row r="633" spans="1:23" ht="12.75" customHeight="1" x14ac:dyDescent="0.25">
      <c r="A633" s="670"/>
      <c r="B633" s="670"/>
      <c r="C633" s="670"/>
      <c r="D633" s="670"/>
      <c r="E633" s="670"/>
      <c r="F633" s="670"/>
      <c r="G633" s="670"/>
      <c r="H633" s="670"/>
      <c r="I633" s="670"/>
      <c r="J633" s="670"/>
      <c r="K633" s="670"/>
      <c r="L633" s="670"/>
      <c r="M633" s="670"/>
      <c r="N633" s="670"/>
      <c r="O633" s="670"/>
      <c r="P633" s="670"/>
      <c r="Q633" s="670"/>
      <c r="R633" s="670"/>
      <c r="S633" s="670"/>
      <c r="T633" s="670"/>
      <c r="U633" s="670"/>
      <c r="V633" s="670"/>
      <c r="W633" s="670"/>
    </row>
    <row r="634" spans="1:23" ht="12.75" customHeight="1" x14ac:dyDescent="0.25">
      <c r="A634" s="670"/>
      <c r="B634" s="670"/>
      <c r="C634" s="670"/>
      <c r="D634" s="670"/>
      <c r="E634" s="670"/>
      <c r="F634" s="670"/>
      <c r="G634" s="670"/>
      <c r="H634" s="670"/>
      <c r="I634" s="670"/>
      <c r="J634" s="670"/>
      <c r="K634" s="670"/>
      <c r="L634" s="670"/>
      <c r="M634" s="670"/>
      <c r="N634" s="670"/>
      <c r="O634" s="670"/>
      <c r="P634" s="670"/>
      <c r="Q634" s="670"/>
      <c r="R634" s="670"/>
      <c r="S634" s="670"/>
      <c r="T634" s="670"/>
      <c r="U634" s="670"/>
      <c r="V634" s="670"/>
      <c r="W634" s="670"/>
    </row>
    <row r="635" spans="1:23" ht="12.75" customHeight="1" x14ac:dyDescent="0.25">
      <c r="A635" s="670"/>
      <c r="B635" s="670"/>
      <c r="C635" s="670"/>
      <c r="D635" s="670"/>
      <c r="E635" s="670"/>
      <c r="F635" s="670"/>
      <c r="G635" s="670"/>
      <c r="H635" s="670"/>
      <c r="I635" s="670"/>
      <c r="J635" s="670"/>
      <c r="K635" s="670"/>
      <c r="L635" s="670"/>
      <c r="M635" s="670"/>
      <c r="N635" s="670"/>
      <c r="O635" s="670"/>
      <c r="P635" s="670"/>
      <c r="Q635" s="670"/>
      <c r="R635" s="670"/>
      <c r="S635" s="670"/>
      <c r="T635" s="670"/>
      <c r="U635" s="670"/>
      <c r="V635" s="670"/>
      <c r="W635" s="670"/>
    </row>
    <row r="636" spans="1:23" ht="12.75" customHeight="1" x14ac:dyDescent="0.25">
      <c r="A636" s="670"/>
      <c r="B636" s="670"/>
      <c r="C636" s="670"/>
      <c r="D636" s="670"/>
      <c r="E636" s="670"/>
      <c r="F636" s="670"/>
      <c r="G636" s="670"/>
      <c r="H636" s="670"/>
      <c r="I636" s="670"/>
      <c r="J636" s="670"/>
      <c r="K636" s="670"/>
      <c r="L636" s="670"/>
      <c r="M636" s="670"/>
      <c r="N636" s="670"/>
      <c r="O636" s="670"/>
      <c r="P636" s="670"/>
      <c r="Q636" s="670"/>
      <c r="R636" s="670"/>
      <c r="S636" s="670"/>
      <c r="T636" s="670"/>
      <c r="U636" s="670"/>
      <c r="V636" s="670"/>
      <c r="W636" s="670"/>
    </row>
    <row r="637" spans="1:23" ht="12.75" customHeight="1" x14ac:dyDescent="0.25">
      <c r="A637" s="670"/>
      <c r="B637" s="670"/>
      <c r="C637" s="670"/>
      <c r="D637" s="670"/>
      <c r="E637" s="670"/>
      <c r="F637" s="670"/>
      <c r="G637" s="670"/>
      <c r="H637" s="670"/>
      <c r="I637" s="670"/>
      <c r="J637" s="670"/>
      <c r="K637" s="670"/>
      <c r="L637" s="670"/>
      <c r="M637" s="670"/>
      <c r="N637" s="670"/>
      <c r="O637" s="670"/>
      <c r="P637" s="670"/>
      <c r="Q637" s="670"/>
      <c r="R637" s="670"/>
      <c r="S637" s="670"/>
      <c r="T637" s="670"/>
      <c r="U637" s="670"/>
      <c r="V637" s="670"/>
      <c r="W637" s="670"/>
    </row>
    <row r="638" spans="1:23" ht="12.75" customHeight="1" x14ac:dyDescent="0.25">
      <c r="A638" s="670"/>
      <c r="B638" s="670"/>
      <c r="C638" s="670"/>
      <c r="D638" s="670"/>
      <c r="E638" s="670"/>
      <c r="F638" s="670"/>
      <c r="G638" s="670"/>
      <c r="H638" s="670"/>
      <c r="I638" s="670"/>
      <c r="J638" s="670"/>
      <c r="K638" s="670"/>
      <c r="L638" s="670"/>
      <c r="M638" s="670"/>
      <c r="N638" s="670"/>
      <c r="O638" s="670"/>
      <c r="P638" s="670"/>
      <c r="Q638" s="670"/>
      <c r="R638" s="670"/>
      <c r="S638" s="670"/>
      <c r="T638" s="670"/>
      <c r="U638" s="670"/>
      <c r="V638" s="670"/>
      <c r="W638" s="670"/>
    </row>
    <row r="639" spans="1:23" ht="12.75" customHeight="1" x14ac:dyDescent="0.25">
      <c r="A639" s="670"/>
      <c r="B639" s="670"/>
      <c r="C639" s="670"/>
      <c r="D639" s="670"/>
      <c r="E639" s="670"/>
      <c r="F639" s="670"/>
      <c r="G639" s="670"/>
      <c r="H639" s="670"/>
      <c r="I639" s="670"/>
      <c r="J639" s="670"/>
      <c r="K639" s="670"/>
      <c r="L639" s="670"/>
      <c r="M639" s="670"/>
      <c r="N639" s="670"/>
      <c r="O639" s="670"/>
      <c r="P639" s="670"/>
      <c r="Q639" s="670"/>
      <c r="R639" s="670"/>
      <c r="S639" s="670"/>
      <c r="T639" s="670"/>
      <c r="U639" s="670"/>
      <c r="V639" s="670"/>
      <c r="W639" s="670"/>
    </row>
    <row r="640" spans="1:23" ht="12.75" customHeight="1" x14ac:dyDescent="0.25">
      <c r="A640" s="670"/>
      <c r="B640" s="670"/>
      <c r="C640" s="670"/>
      <c r="D640" s="670"/>
      <c r="E640" s="670"/>
      <c r="F640" s="670"/>
      <c r="G640" s="670"/>
      <c r="H640" s="670"/>
      <c r="I640" s="670"/>
      <c r="J640" s="670"/>
      <c r="K640" s="670"/>
      <c r="L640" s="670"/>
      <c r="M640" s="670"/>
      <c r="N640" s="670"/>
      <c r="O640" s="670"/>
      <c r="P640" s="670"/>
      <c r="Q640" s="670"/>
      <c r="R640" s="670"/>
      <c r="S640" s="670"/>
      <c r="T640" s="670"/>
      <c r="U640" s="670"/>
      <c r="V640" s="670"/>
      <c r="W640" s="670"/>
    </row>
    <row r="641" spans="1:23" ht="12.75" customHeight="1" x14ac:dyDescent="0.25">
      <c r="A641" s="670"/>
      <c r="B641" s="670"/>
      <c r="C641" s="670"/>
      <c r="D641" s="670"/>
      <c r="E641" s="670"/>
      <c r="F641" s="670"/>
      <c r="G641" s="670"/>
      <c r="H641" s="670"/>
      <c r="I641" s="670"/>
      <c r="J641" s="670"/>
      <c r="K641" s="670"/>
      <c r="L641" s="670"/>
      <c r="M641" s="670"/>
      <c r="N641" s="670"/>
      <c r="O641" s="670"/>
      <c r="P641" s="670"/>
      <c r="Q641" s="670"/>
      <c r="R641" s="670"/>
      <c r="S641" s="670"/>
      <c r="T641" s="670"/>
      <c r="U641" s="670"/>
      <c r="V641" s="670"/>
      <c r="W641" s="670"/>
    </row>
    <row r="642" spans="1:23" ht="12.75" customHeight="1" x14ac:dyDescent="0.25">
      <c r="A642" s="670"/>
      <c r="B642" s="670"/>
      <c r="C642" s="670"/>
      <c r="D642" s="670"/>
      <c r="E642" s="670"/>
      <c r="F642" s="670"/>
      <c r="G642" s="670"/>
      <c r="H642" s="670"/>
      <c r="I642" s="670"/>
      <c r="J642" s="670"/>
      <c r="K642" s="670"/>
      <c r="L642" s="670"/>
      <c r="M642" s="670"/>
      <c r="N642" s="670"/>
      <c r="O642" s="670"/>
      <c r="P642" s="670"/>
      <c r="Q642" s="670"/>
      <c r="R642" s="670"/>
      <c r="S642" s="670"/>
      <c r="T642" s="670"/>
      <c r="U642" s="670"/>
      <c r="V642" s="670"/>
      <c r="W642" s="670"/>
    </row>
    <row r="643" spans="1:23" ht="12.75" customHeight="1" x14ac:dyDescent="0.25">
      <c r="A643" s="670"/>
      <c r="B643" s="670"/>
      <c r="C643" s="670"/>
      <c r="D643" s="670"/>
      <c r="E643" s="670"/>
      <c r="F643" s="670"/>
      <c r="G643" s="670"/>
      <c r="H643" s="670"/>
      <c r="I643" s="670"/>
      <c r="J643" s="670"/>
      <c r="K643" s="670"/>
      <c r="L643" s="670"/>
      <c r="M643" s="670"/>
      <c r="N643" s="670"/>
      <c r="O643" s="670"/>
      <c r="P643" s="670"/>
      <c r="Q643" s="670"/>
      <c r="R643" s="670"/>
      <c r="S643" s="670"/>
      <c r="T643" s="670"/>
      <c r="U643" s="670"/>
      <c r="V643" s="670"/>
      <c r="W643" s="670"/>
    </row>
    <row r="644" spans="1:23" ht="12.75" customHeight="1" x14ac:dyDescent="0.25">
      <c r="A644" s="670"/>
      <c r="B644" s="670"/>
      <c r="C644" s="670"/>
      <c r="D644" s="670"/>
      <c r="E644" s="670"/>
      <c r="F644" s="670"/>
      <c r="G644" s="670"/>
      <c r="H644" s="670"/>
      <c r="I644" s="670"/>
      <c r="J644" s="670"/>
      <c r="K644" s="670"/>
      <c r="L644" s="670"/>
      <c r="M644" s="670"/>
      <c r="N644" s="670"/>
      <c r="O644" s="670"/>
      <c r="P644" s="670"/>
      <c r="Q644" s="670"/>
      <c r="R644" s="670"/>
      <c r="S644" s="670"/>
      <c r="T644" s="670"/>
      <c r="U644" s="670"/>
      <c r="V644" s="670"/>
      <c r="W644" s="670"/>
    </row>
    <row r="645" spans="1:23" ht="12.75" customHeight="1" x14ac:dyDescent="0.25">
      <c r="A645" s="670"/>
      <c r="B645" s="670"/>
      <c r="C645" s="670"/>
      <c r="D645" s="670"/>
      <c r="E645" s="670"/>
      <c r="F645" s="670"/>
      <c r="G645" s="670"/>
      <c r="H645" s="670"/>
      <c r="I645" s="670"/>
      <c r="J645" s="670"/>
      <c r="K645" s="670"/>
      <c r="L645" s="670"/>
      <c r="M645" s="670"/>
      <c r="N645" s="670"/>
      <c r="O645" s="670"/>
      <c r="P645" s="670"/>
      <c r="Q645" s="670"/>
      <c r="R645" s="670"/>
      <c r="S645" s="670"/>
      <c r="T645" s="670"/>
      <c r="U645" s="670"/>
      <c r="V645" s="670"/>
      <c r="W645" s="670"/>
    </row>
    <row r="646" spans="1:23" ht="12.75" customHeight="1" x14ac:dyDescent="0.25">
      <c r="A646" s="670"/>
      <c r="B646" s="670"/>
      <c r="C646" s="670"/>
      <c r="D646" s="670"/>
      <c r="E646" s="670"/>
      <c r="F646" s="670"/>
      <c r="G646" s="670"/>
      <c r="H646" s="670"/>
      <c r="I646" s="670"/>
      <c r="J646" s="670"/>
      <c r="K646" s="670"/>
      <c r="L646" s="670"/>
      <c r="M646" s="670"/>
      <c r="N646" s="670"/>
      <c r="O646" s="670"/>
      <c r="P646" s="670"/>
      <c r="Q646" s="670"/>
      <c r="R646" s="670"/>
      <c r="S646" s="670"/>
      <c r="T646" s="670"/>
      <c r="U646" s="670"/>
      <c r="V646" s="670"/>
      <c r="W646" s="670"/>
    </row>
    <row r="647" spans="1:23" ht="12.75" customHeight="1" x14ac:dyDescent="0.25">
      <c r="A647" s="670"/>
      <c r="B647" s="670"/>
      <c r="C647" s="670"/>
      <c r="D647" s="670"/>
      <c r="E647" s="670"/>
      <c r="F647" s="670"/>
      <c r="G647" s="670"/>
      <c r="H647" s="670"/>
      <c r="I647" s="670"/>
      <c r="J647" s="670"/>
      <c r="K647" s="670"/>
      <c r="L647" s="670"/>
      <c r="M647" s="670"/>
      <c r="N647" s="670"/>
      <c r="O647" s="670"/>
      <c r="P647" s="670"/>
      <c r="Q647" s="670"/>
      <c r="R647" s="670"/>
      <c r="S647" s="670"/>
      <c r="T647" s="670"/>
      <c r="U647" s="670"/>
      <c r="V647" s="670"/>
      <c r="W647" s="670"/>
    </row>
    <row r="648" spans="1:23" ht="12.75" customHeight="1" x14ac:dyDescent="0.25">
      <c r="A648" s="670"/>
      <c r="B648" s="670"/>
      <c r="C648" s="670"/>
      <c r="D648" s="670"/>
      <c r="E648" s="670"/>
      <c r="F648" s="670"/>
      <c r="G648" s="670"/>
      <c r="H648" s="670"/>
      <c r="I648" s="670"/>
      <c r="J648" s="670"/>
      <c r="K648" s="670"/>
      <c r="L648" s="670"/>
      <c r="M648" s="670"/>
      <c r="N648" s="670"/>
      <c r="O648" s="670"/>
      <c r="P648" s="670"/>
      <c r="Q648" s="670"/>
      <c r="R648" s="670"/>
      <c r="S648" s="670"/>
      <c r="T648" s="670"/>
      <c r="U648" s="670"/>
      <c r="V648" s="670"/>
      <c r="W648" s="670"/>
    </row>
    <row r="649" spans="1:23" ht="12.75" customHeight="1" x14ac:dyDescent="0.25">
      <c r="A649" s="670"/>
      <c r="B649" s="670"/>
      <c r="C649" s="670"/>
      <c r="D649" s="670"/>
      <c r="E649" s="670"/>
      <c r="F649" s="670"/>
      <c r="G649" s="670"/>
      <c r="H649" s="670"/>
      <c r="I649" s="670"/>
      <c r="J649" s="670"/>
      <c r="K649" s="670"/>
      <c r="L649" s="670"/>
      <c r="M649" s="670"/>
      <c r="N649" s="670"/>
      <c r="O649" s="670"/>
      <c r="P649" s="670"/>
      <c r="Q649" s="670"/>
      <c r="R649" s="670"/>
      <c r="S649" s="670"/>
      <c r="T649" s="670"/>
      <c r="U649" s="670"/>
      <c r="V649" s="670"/>
      <c r="W649" s="670"/>
    </row>
    <row r="650" spans="1:23" ht="12.75" customHeight="1" x14ac:dyDescent="0.25">
      <c r="A650" s="670"/>
      <c r="B650" s="670"/>
      <c r="C650" s="670"/>
      <c r="D650" s="670"/>
      <c r="E650" s="670"/>
      <c r="F650" s="670"/>
      <c r="G650" s="670"/>
      <c r="H650" s="670"/>
      <c r="I650" s="670"/>
      <c r="J650" s="670"/>
      <c r="K650" s="670"/>
      <c r="L650" s="670"/>
      <c r="M650" s="670"/>
      <c r="N650" s="670"/>
      <c r="O650" s="670"/>
      <c r="P650" s="670"/>
      <c r="Q650" s="670"/>
      <c r="R650" s="670"/>
      <c r="S650" s="670"/>
      <c r="T650" s="670"/>
      <c r="U650" s="670"/>
      <c r="V650" s="670"/>
      <c r="W650" s="670"/>
    </row>
    <row r="651" spans="1:23" ht="12.75" customHeight="1" x14ac:dyDescent="0.25">
      <c r="A651" s="670"/>
      <c r="B651" s="670"/>
      <c r="C651" s="670"/>
      <c r="D651" s="670"/>
      <c r="E651" s="670"/>
      <c r="F651" s="670"/>
      <c r="G651" s="670"/>
      <c r="H651" s="670"/>
      <c r="I651" s="670"/>
      <c r="J651" s="670"/>
      <c r="K651" s="670"/>
      <c r="L651" s="670"/>
      <c r="M651" s="670"/>
      <c r="N651" s="670"/>
      <c r="O651" s="670"/>
      <c r="P651" s="670"/>
      <c r="Q651" s="670"/>
      <c r="R651" s="670"/>
      <c r="S651" s="670"/>
      <c r="T651" s="670"/>
      <c r="U651" s="670"/>
      <c r="V651" s="670"/>
      <c r="W651" s="670"/>
    </row>
    <row r="652" spans="1:23" ht="12.75" customHeight="1" x14ac:dyDescent="0.25">
      <c r="A652" s="670"/>
      <c r="B652" s="670"/>
      <c r="C652" s="670"/>
      <c r="D652" s="670"/>
      <c r="E652" s="670"/>
      <c r="F652" s="670"/>
      <c r="G652" s="670"/>
      <c r="H652" s="670"/>
      <c r="I652" s="670"/>
      <c r="J652" s="670"/>
      <c r="K652" s="670"/>
      <c r="L652" s="670"/>
      <c r="M652" s="670"/>
      <c r="N652" s="670"/>
      <c r="O652" s="670"/>
      <c r="P652" s="670"/>
      <c r="Q652" s="670"/>
      <c r="R652" s="670"/>
      <c r="S652" s="670"/>
      <c r="T652" s="670"/>
      <c r="U652" s="670"/>
      <c r="V652" s="670"/>
      <c r="W652" s="670"/>
    </row>
    <row r="653" spans="1:23" ht="12.75" customHeight="1" x14ac:dyDescent="0.25">
      <c r="A653" s="670"/>
      <c r="B653" s="670"/>
      <c r="C653" s="670"/>
      <c r="D653" s="670"/>
      <c r="E653" s="670"/>
      <c r="F653" s="670"/>
      <c r="G653" s="670"/>
      <c r="H653" s="670"/>
      <c r="I653" s="670"/>
      <c r="J653" s="670"/>
      <c r="K653" s="670"/>
      <c r="L653" s="670"/>
      <c r="M653" s="670"/>
      <c r="N653" s="670"/>
      <c r="O653" s="670"/>
      <c r="P653" s="670"/>
      <c r="Q653" s="670"/>
      <c r="R653" s="670"/>
      <c r="S653" s="670"/>
      <c r="T653" s="670"/>
      <c r="U653" s="670"/>
      <c r="V653" s="670"/>
      <c r="W653" s="670"/>
    </row>
    <row r="654" spans="1:23" ht="12.75" customHeight="1" x14ac:dyDescent="0.25">
      <c r="A654" s="670"/>
      <c r="B654" s="670"/>
      <c r="C654" s="670"/>
      <c r="D654" s="670"/>
      <c r="E654" s="670"/>
      <c r="F654" s="670"/>
      <c r="G654" s="670"/>
      <c r="H654" s="670"/>
      <c r="I654" s="670"/>
      <c r="J654" s="670"/>
      <c r="K654" s="670"/>
      <c r="L654" s="670"/>
      <c r="M654" s="670"/>
      <c r="N654" s="670"/>
      <c r="O654" s="670"/>
      <c r="P654" s="670"/>
      <c r="Q654" s="670"/>
      <c r="R654" s="670"/>
      <c r="S654" s="670"/>
      <c r="T654" s="670"/>
      <c r="U654" s="670"/>
      <c r="V654" s="670"/>
      <c r="W654" s="670"/>
    </row>
    <row r="655" spans="1:23" ht="12.75" customHeight="1" x14ac:dyDescent="0.25">
      <c r="A655" s="670"/>
      <c r="B655" s="670"/>
      <c r="C655" s="670"/>
      <c r="D655" s="670"/>
      <c r="E655" s="670"/>
      <c r="F655" s="670"/>
      <c r="G655" s="670"/>
      <c r="H655" s="670"/>
      <c r="I655" s="670"/>
      <c r="J655" s="670"/>
      <c r="K655" s="670"/>
      <c r="L655" s="670"/>
      <c r="M655" s="670"/>
      <c r="N655" s="670"/>
      <c r="O655" s="670"/>
      <c r="P655" s="670"/>
      <c r="Q655" s="670"/>
      <c r="R655" s="670"/>
      <c r="S655" s="670"/>
      <c r="T655" s="670"/>
      <c r="U655" s="670"/>
      <c r="V655" s="670"/>
      <c r="W655" s="670"/>
    </row>
    <row r="656" spans="1:23" ht="12.75" customHeight="1" x14ac:dyDescent="0.25">
      <c r="A656" s="670"/>
      <c r="B656" s="670"/>
      <c r="C656" s="670"/>
      <c r="D656" s="670"/>
      <c r="E656" s="670"/>
      <c r="F656" s="670"/>
      <c r="G656" s="670"/>
      <c r="H656" s="670"/>
      <c r="I656" s="670"/>
      <c r="J656" s="670"/>
      <c r="K656" s="670"/>
      <c r="L656" s="670"/>
      <c r="M656" s="670"/>
      <c r="N656" s="670"/>
      <c r="O656" s="670"/>
      <c r="P656" s="670"/>
      <c r="Q656" s="670"/>
      <c r="R656" s="670"/>
      <c r="S656" s="670"/>
      <c r="T656" s="670"/>
      <c r="U656" s="670"/>
      <c r="V656" s="670"/>
      <c r="W656" s="670"/>
    </row>
    <row r="657" spans="1:23" ht="12.75" customHeight="1" x14ac:dyDescent="0.25">
      <c r="A657" s="670"/>
      <c r="B657" s="670"/>
      <c r="C657" s="670"/>
      <c r="D657" s="670"/>
      <c r="E657" s="670"/>
      <c r="F657" s="670"/>
      <c r="G657" s="670"/>
      <c r="H657" s="670"/>
      <c r="I657" s="670"/>
      <c r="J657" s="670"/>
      <c r="K657" s="670"/>
      <c r="L657" s="670"/>
      <c r="M657" s="670"/>
      <c r="N657" s="670"/>
      <c r="O657" s="670"/>
      <c r="P657" s="670"/>
      <c r="Q657" s="670"/>
      <c r="R657" s="670"/>
      <c r="S657" s="670"/>
      <c r="T657" s="670"/>
      <c r="U657" s="670"/>
      <c r="V657" s="670"/>
      <c r="W657" s="670"/>
    </row>
    <row r="658" spans="1:23" ht="12.75" customHeight="1" x14ac:dyDescent="0.25">
      <c r="A658" s="670"/>
      <c r="B658" s="670"/>
      <c r="C658" s="670"/>
      <c r="D658" s="670"/>
      <c r="E658" s="670"/>
      <c r="F658" s="670"/>
      <c r="G658" s="670"/>
      <c r="H658" s="670"/>
      <c r="I658" s="670"/>
      <c r="J658" s="670"/>
      <c r="K658" s="670"/>
      <c r="L658" s="670"/>
      <c r="M658" s="670"/>
      <c r="N658" s="670"/>
      <c r="O658" s="670"/>
      <c r="P658" s="670"/>
      <c r="Q658" s="670"/>
      <c r="R658" s="670"/>
      <c r="S658" s="670"/>
      <c r="T658" s="670"/>
      <c r="U658" s="670"/>
      <c r="V658" s="670"/>
      <c r="W658" s="670"/>
    </row>
    <row r="659" spans="1:23" ht="12.75" customHeight="1" x14ac:dyDescent="0.25">
      <c r="A659" s="670"/>
      <c r="B659" s="670"/>
      <c r="C659" s="670"/>
      <c r="D659" s="670"/>
      <c r="E659" s="670"/>
      <c r="F659" s="670"/>
      <c r="G659" s="670"/>
      <c r="H659" s="670"/>
      <c r="I659" s="670"/>
      <c r="J659" s="670"/>
      <c r="K659" s="670"/>
      <c r="L659" s="670"/>
      <c r="M659" s="670"/>
      <c r="N659" s="670"/>
      <c r="O659" s="670"/>
      <c r="P659" s="670"/>
      <c r="Q659" s="670"/>
      <c r="R659" s="670"/>
      <c r="S659" s="670"/>
      <c r="T659" s="670"/>
      <c r="U659" s="670"/>
      <c r="V659" s="670"/>
      <c r="W659" s="670"/>
    </row>
    <row r="660" spans="1:23" ht="12.75" customHeight="1" x14ac:dyDescent="0.25">
      <c r="A660" s="670"/>
      <c r="B660" s="670"/>
      <c r="C660" s="670"/>
      <c r="D660" s="670"/>
      <c r="E660" s="670"/>
      <c r="F660" s="670"/>
      <c r="G660" s="670"/>
      <c r="H660" s="670"/>
      <c r="I660" s="670"/>
      <c r="J660" s="670"/>
      <c r="K660" s="670"/>
      <c r="L660" s="670"/>
      <c r="M660" s="670"/>
      <c r="N660" s="670"/>
      <c r="O660" s="670"/>
      <c r="P660" s="670"/>
      <c r="Q660" s="670"/>
      <c r="R660" s="670"/>
      <c r="S660" s="670"/>
      <c r="T660" s="670"/>
      <c r="U660" s="670"/>
      <c r="V660" s="670"/>
      <c r="W660" s="670"/>
    </row>
    <row r="661" spans="1:23" ht="12.75" customHeight="1" x14ac:dyDescent="0.25">
      <c r="A661" s="670"/>
      <c r="B661" s="670"/>
      <c r="C661" s="670"/>
      <c r="D661" s="670"/>
      <c r="E661" s="670"/>
      <c r="F661" s="670"/>
      <c r="G661" s="670"/>
      <c r="H661" s="670"/>
      <c r="I661" s="670"/>
      <c r="J661" s="670"/>
      <c r="K661" s="670"/>
      <c r="L661" s="670"/>
      <c r="M661" s="670"/>
      <c r="N661" s="670"/>
      <c r="O661" s="670"/>
      <c r="P661" s="670"/>
      <c r="Q661" s="670"/>
      <c r="R661" s="670"/>
      <c r="S661" s="670"/>
      <c r="T661" s="670"/>
      <c r="U661" s="670"/>
      <c r="V661" s="670"/>
      <c r="W661" s="670"/>
    </row>
    <row r="662" spans="1:23" ht="12.75" customHeight="1" x14ac:dyDescent="0.25">
      <c r="A662" s="670"/>
      <c r="B662" s="670"/>
      <c r="C662" s="670"/>
      <c r="D662" s="670"/>
      <c r="E662" s="670"/>
      <c r="F662" s="670"/>
      <c r="G662" s="670"/>
      <c r="H662" s="670"/>
      <c r="I662" s="670"/>
      <c r="J662" s="670"/>
      <c r="K662" s="670"/>
      <c r="L662" s="670"/>
      <c r="M662" s="670"/>
      <c r="N662" s="670"/>
      <c r="O662" s="670"/>
      <c r="P662" s="670"/>
      <c r="Q662" s="670"/>
      <c r="R662" s="670"/>
      <c r="S662" s="670"/>
      <c r="T662" s="670"/>
      <c r="U662" s="670"/>
      <c r="V662" s="670"/>
      <c r="W662" s="670"/>
    </row>
    <row r="663" spans="1:23" ht="12.75" customHeight="1" x14ac:dyDescent="0.25">
      <c r="A663" s="670"/>
      <c r="B663" s="670"/>
      <c r="C663" s="670"/>
      <c r="D663" s="670"/>
      <c r="E663" s="670"/>
      <c r="F663" s="670"/>
      <c r="G663" s="670"/>
      <c r="H663" s="670"/>
      <c r="I663" s="670"/>
      <c r="J663" s="670"/>
      <c r="K663" s="670"/>
      <c r="L663" s="670"/>
      <c r="M663" s="670"/>
      <c r="N663" s="670"/>
      <c r="O663" s="670"/>
      <c r="P663" s="670"/>
      <c r="Q663" s="670"/>
      <c r="R663" s="670"/>
      <c r="S663" s="670"/>
      <c r="T663" s="670"/>
      <c r="U663" s="670"/>
      <c r="V663" s="670"/>
      <c r="W663" s="670"/>
    </row>
    <row r="664" spans="1:23" ht="12.75" customHeight="1" x14ac:dyDescent="0.25">
      <c r="A664" s="670"/>
      <c r="B664" s="670"/>
      <c r="C664" s="670"/>
      <c r="D664" s="670"/>
      <c r="E664" s="670"/>
      <c r="F664" s="670"/>
      <c r="G664" s="670"/>
      <c r="H664" s="670"/>
      <c r="I664" s="670"/>
      <c r="J664" s="670"/>
      <c r="K664" s="670"/>
      <c r="L664" s="670"/>
      <c r="M664" s="670"/>
      <c r="N664" s="670"/>
      <c r="O664" s="670"/>
      <c r="P664" s="670"/>
      <c r="Q664" s="670"/>
      <c r="R664" s="670"/>
      <c r="S664" s="670"/>
      <c r="T664" s="670"/>
      <c r="U664" s="670"/>
      <c r="V664" s="670"/>
      <c r="W664" s="670"/>
    </row>
    <row r="665" spans="1:23" ht="12.75" customHeight="1" x14ac:dyDescent="0.25">
      <c r="A665" s="670"/>
      <c r="B665" s="670"/>
      <c r="C665" s="670"/>
      <c r="D665" s="670"/>
      <c r="E665" s="670"/>
      <c r="F665" s="670"/>
      <c r="G665" s="670"/>
      <c r="H665" s="670"/>
      <c r="I665" s="670"/>
      <c r="J665" s="670"/>
      <c r="K665" s="670"/>
      <c r="L665" s="670"/>
      <c r="M665" s="670"/>
      <c r="N665" s="670"/>
      <c r="O665" s="670"/>
      <c r="P665" s="670"/>
      <c r="Q665" s="670"/>
      <c r="R665" s="670"/>
      <c r="S665" s="670"/>
      <c r="T665" s="670"/>
      <c r="U665" s="670"/>
      <c r="V665" s="670"/>
      <c r="W665" s="670"/>
    </row>
    <row r="666" spans="1:23" ht="12.75" customHeight="1" x14ac:dyDescent="0.25">
      <c r="A666" s="670"/>
      <c r="B666" s="670"/>
      <c r="C666" s="670"/>
      <c r="D666" s="670"/>
      <c r="E666" s="670"/>
      <c r="F666" s="670"/>
      <c r="G666" s="670"/>
      <c r="H666" s="670"/>
      <c r="I666" s="670"/>
      <c r="J666" s="670"/>
      <c r="K666" s="670"/>
      <c r="L666" s="670"/>
      <c r="M666" s="670"/>
      <c r="N666" s="670"/>
      <c r="O666" s="670"/>
      <c r="P666" s="670"/>
      <c r="Q666" s="670"/>
      <c r="R666" s="670"/>
      <c r="S666" s="670"/>
      <c r="T666" s="670"/>
      <c r="U666" s="670"/>
      <c r="V666" s="670"/>
      <c r="W666" s="670"/>
    </row>
    <row r="667" spans="1:23" ht="12.75" customHeight="1" x14ac:dyDescent="0.25">
      <c r="A667" s="670"/>
      <c r="B667" s="670"/>
      <c r="C667" s="670"/>
      <c r="D667" s="670"/>
      <c r="E667" s="670"/>
      <c r="F667" s="670"/>
      <c r="G667" s="670"/>
      <c r="H667" s="670"/>
      <c r="I667" s="670"/>
      <c r="J667" s="670"/>
      <c r="K667" s="670"/>
      <c r="L667" s="670"/>
      <c r="M667" s="670"/>
      <c r="N667" s="670"/>
      <c r="O667" s="670"/>
      <c r="P667" s="670"/>
      <c r="Q667" s="670"/>
      <c r="R667" s="670"/>
      <c r="S667" s="670"/>
      <c r="T667" s="670"/>
      <c r="U667" s="670"/>
      <c r="V667" s="670"/>
      <c r="W667" s="670"/>
    </row>
    <row r="668" spans="1:23" ht="12.75" customHeight="1" x14ac:dyDescent="0.25">
      <c r="A668" s="670"/>
      <c r="B668" s="670"/>
      <c r="C668" s="670"/>
      <c r="D668" s="670"/>
      <c r="E668" s="670"/>
      <c r="F668" s="670"/>
      <c r="G668" s="670"/>
      <c r="H668" s="670"/>
      <c r="I668" s="670"/>
      <c r="J668" s="670"/>
      <c r="K668" s="670"/>
      <c r="L668" s="670"/>
      <c r="M668" s="670"/>
      <c r="N668" s="670"/>
      <c r="O668" s="670"/>
      <c r="P668" s="670"/>
      <c r="Q668" s="670"/>
      <c r="R668" s="670"/>
      <c r="S668" s="670"/>
      <c r="T668" s="670"/>
      <c r="U668" s="670"/>
      <c r="V668" s="670"/>
      <c r="W668" s="670"/>
    </row>
    <row r="669" spans="1:23" ht="12.75" customHeight="1" x14ac:dyDescent="0.25">
      <c r="A669" s="670"/>
      <c r="B669" s="670"/>
      <c r="C669" s="670"/>
      <c r="D669" s="670"/>
      <c r="E669" s="670"/>
      <c r="F669" s="670"/>
      <c r="G669" s="670"/>
      <c r="H669" s="670"/>
      <c r="I669" s="670"/>
      <c r="J669" s="670"/>
      <c r="K669" s="670"/>
      <c r="L669" s="670"/>
      <c r="M669" s="670"/>
      <c r="N669" s="670"/>
      <c r="O669" s="670"/>
      <c r="P669" s="670"/>
      <c r="Q669" s="670"/>
      <c r="R669" s="670"/>
      <c r="S669" s="670"/>
      <c r="T669" s="670"/>
      <c r="U669" s="670"/>
      <c r="V669" s="670"/>
      <c r="W669" s="670"/>
    </row>
    <row r="670" spans="1:23" ht="12.75" customHeight="1" x14ac:dyDescent="0.25">
      <c r="A670" s="670"/>
      <c r="B670" s="670"/>
      <c r="C670" s="670"/>
      <c r="D670" s="670"/>
      <c r="E670" s="670"/>
      <c r="F670" s="670"/>
      <c r="G670" s="670"/>
      <c r="H670" s="670"/>
      <c r="I670" s="670"/>
      <c r="J670" s="670"/>
      <c r="K670" s="670"/>
      <c r="L670" s="670"/>
      <c r="M670" s="670"/>
      <c r="N670" s="670"/>
      <c r="O670" s="670"/>
      <c r="P670" s="670"/>
      <c r="Q670" s="670"/>
      <c r="R670" s="670"/>
      <c r="S670" s="670"/>
      <c r="T670" s="670"/>
      <c r="U670" s="670"/>
      <c r="V670" s="670"/>
      <c r="W670" s="670"/>
    </row>
    <row r="671" spans="1:23" ht="12.75" customHeight="1" x14ac:dyDescent="0.25">
      <c r="A671" s="670"/>
      <c r="B671" s="670"/>
      <c r="C671" s="670"/>
      <c r="D671" s="670"/>
      <c r="E671" s="670"/>
      <c r="F671" s="670"/>
      <c r="G671" s="670"/>
      <c r="H671" s="670"/>
      <c r="I671" s="670"/>
      <c r="J671" s="670"/>
      <c r="K671" s="670"/>
      <c r="L671" s="670"/>
      <c r="M671" s="670"/>
      <c r="N671" s="670"/>
      <c r="O671" s="670"/>
      <c r="P671" s="670"/>
      <c r="Q671" s="670"/>
      <c r="R671" s="670"/>
      <c r="S671" s="670"/>
      <c r="T671" s="670"/>
      <c r="U671" s="670"/>
      <c r="V671" s="670"/>
      <c r="W671" s="670"/>
    </row>
    <row r="672" spans="1:23" ht="12.75" customHeight="1" x14ac:dyDescent="0.25">
      <c r="A672" s="670"/>
      <c r="B672" s="670"/>
      <c r="C672" s="670"/>
      <c r="D672" s="670"/>
      <c r="E672" s="670"/>
      <c r="F672" s="670"/>
      <c r="G672" s="670"/>
      <c r="H672" s="670"/>
      <c r="I672" s="670"/>
      <c r="J672" s="670"/>
      <c r="K672" s="670"/>
      <c r="L672" s="670"/>
      <c r="M672" s="670"/>
      <c r="N672" s="670"/>
      <c r="O672" s="670"/>
      <c r="P672" s="670"/>
      <c r="Q672" s="670"/>
      <c r="R672" s="670"/>
      <c r="S672" s="670"/>
      <c r="T672" s="670"/>
      <c r="U672" s="670"/>
      <c r="V672" s="670"/>
      <c r="W672" s="670"/>
    </row>
    <row r="673" spans="1:23" ht="12.75" customHeight="1" x14ac:dyDescent="0.25">
      <c r="A673" s="670"/>
      <c r="B673" s="670"/>
      <c r="C673" s="670"/>
      <c r="D673" s="670"/>
      <c r="E673" s="670"/>
      <c r="F673" s="670"/>
      <c r="G673" s="670"/>
      <c r="H673" s="670"/>
      <c r="I673" s="670"/>
      <c r="J673" s="670"/>
      <c r="K673" s="670"/>
      <c r="L673" s="670"/>
      <c r="M673" s="670"/>
      <c r="N673" s="670"/>
      <c r="O673" s="670"/>
      <c r="P673" s="670"/>
      <c r="Q673" s="670"/>
      <c r="R673" s="670"/>
      <c r="S673" s="670"/>
      <c r="T673" s="670"/>
      <c r="U673" s="670"/>
      <c r="V673" s="670"/>
      <c r="W673" s="670"/>
    </row>
    <row r="674" spans="1:23" ht="12.75" customHeight="1" x14ac:dyDescent="0.25">
      <c r="A674" s="670"/>
      <c r="B674" s="670"/>
      <c r="C674" s="670"/>
      <c r="D674" s="670"/>
      <c r="E674" s="670"/>
      <c r="F674" s="670"/>
      <c r="G674" s="670"/>
      <c r="H674" s="670"/>
      <c r="I674" s="670"/>
      <c r="J674" s="670"/>
      <c r="K674" s="670"/>
      <c r="L674" s="670"/>
      <c r="M674" s="670"/>
      <c r="N674" s="670"/>
      <c r="O674" s="670"/>
      <c r="P674" s="670"/>
      <c r="Q674" s="670"/>
      <c r="R674" s="670"/>
      <c r="S674" s="670"/>
      <c r="T674" s="670"/>
      <c r="U674" s="670"/>
      <c r="V674" s="670"/>
      <c r="W674" s="670"/>
    </row>
    <row r="675" spans="1:23" ht="12.75" customHeight="1" x14ac:dyDescent="0.25">
      <c r="A675" s="670"/>
      <c r="B675" s="670"/>
      <c r="C675" s="670"/>
      <c r="D675" s="670"/>
      <c r="E675" s="670"/>
      <c r="F675" s="670"/>
      <c r="G675" s="670"/>
      <c r="H675" s="670"/>
      <c r="I675" s="670"/>
      <c r="J675" s="670"/>
      <c r="K675" s="670"/>
      <c r="L675" s="670"/>
      <c r="M675" s="670"/>
      <c r="N675" s="670"/>
      <c r="O675" s="670"/>
      <c r="P675" s="670"/>
      <c r="Q675" s="670"/>
      <c r="R675" s="670"/>
      <c r="S675" s="670"/>
      <c r="T675" s="670"/>
      <c r="U675" s="670"/>
      <c r="V675" s="670"/>
      <c r="W675" s="670"/>
    </row>
    <row r="676" spans="1:23" ht="12.75" customHeight="1" x14ac:dyDescent="0.25">
      <c r="A676" s="670"/>
      <c r="B676" s="670"/>
      <c r="C676" s="670"/>
      <c r="D676" s="670"/>
      <c r="E676" s="670"/>
      <c r="F676" s="670"/>
      <c r="G676" s="670"/>
      <c r="H676" s="670"/>
      <c r="I676" s="670"/>
      <c r="J676" s="670"/>
      <c r="K676" s="670"/>
      <c r="L676" s="670"/>
      <c r="M676" s="670"/>
      <c r="N676" s="670"/>
      <c r="O676" s="670"/>
      <c r="P676" s="670"/>
      <c r="Q676" s="670"/>
      <c r="R676" s="670"/>
      <c r="S676" s="670"/>
      <c r="T676" s="670"/>
      <c r="U676" s="670"/>
      <c r="V676" s="670"/>
      <c r="W676" s="670"/>
    </row>
    <row r="677" spans="1:23" ht="12.75" customHeight="1" x14ac:dyDescent="0.25">
      <c r="A677" s="670"/>
      <c r="B677" s="670"/>
      <c r="C677" s="670"/>
      <c r="D677" s="670"/>
      <c r="E677" s="670"/>
      <c r="F677" s="670"/>
      <c r="G677" s="670"/>
      <c r="H677" s="670"/>
      <c r="I677" s="670"/>
      <c r="J677" s="670"/>
      <c r="K677" s="670"/>
      <c r="L677" s="670"/>
      <c r="M677" s="670"/>
      <c r="N677" s="670"/>
      <c r="O677" s="670"/>
      <c r="P677" s="670"/>
      <c r="Q677" s="670"/>
      <c r="R677" s="670"/>
      <c r="S677" s="670"/>
      <c r="T677" s="670"/>
      <c r="U677" s="670"/>
      <c r="V677" s="670"/>
      <c r="W677" s="670"/>
    </row>
    <row r="678" spans="1:23" ht="12.75" customHeight="1" x14ac:dyDescent="0.25">
      <c r="A678" s="670"/>
      <c r="B678" s="670"/>
      <c r="C678" s="670"/>
      <c r="D678" s="670"/>
      <c r="E678" s="670"/>
      <c r="F678" s="670"/>
      <c r="G678" s="670"/>
      <c r="H678" s="670"/>
      <c r="I678" s="670"/>
      <c r="J678" s="670"/>
      <c r="K678" s="670"/>
      <c r="L678" s="670"/>
      <c r="M678" s="670"/>
      <c r="N678" s="670"/>
      <c r="O678" s="670"/>
      <c r="P678" s="670"/>
      <c r="Q678" s="670"/>
      <c r="R678" s="670"/>
      <c r="S678" s="670"/>
      <c r="T678" s="670"/>
      <c r="U678" s="670"/>
      <c r="V678" s="670"/>
      <c r="W678" s="670"/>
    </row>
    <row r="679" spans="1:23" ht="12.75" customHeight="1" x14ac:dyDescent="0.25">
      <c r="A679" s="670"/>
      <c r="B679" s="670"/>
      <c r="C679" s="670"/>
      <c r="D679" s="670"/>
      <c r="E679" s="670"/>
      <c r="F679" s="670"/>
      <c r="G679" s="670"/>
      <c r="H679" s="670"/>
      <c r="I679" s="670"/>
      <c r="J679" s="670"/>
      <c r="K679" s="670"/>
      <c r="L679" s="670"/>
      <c r="M679" s="670"/>
      <c r="N679" s="670"/>
      <c r="O679" s="670"/>
      <c r="P679" s="670"/>
      <c r="Q679" s="670"/>
      <c r="R679" s="670"/>
      <c r="S679" s="670"/>
      <c r="T679" s="670"/>
      <c r="U679" s="670"/>
      <c r="V679" s="670"/>
      <c r="W679" s="670"/>
    </row>
    <row r="680" spans="1:23" ht="12.75" customHeight="1" x14ac:dyDescent="0.25">
      <c r="A680" s="670"/>
      <c r="B680" s="670"/>
      <c r="C680" s="670"/>
      <c r="D680" s="670"/>
      <c r="E680" s="670"/>
      <c r="F680" s="670"/>
      <c r="G680" s="670"/>
      <c r="H680" s="670"/>
      <c r="I680" s="670"/>
      <c r="J680" s="670"/>
      <c r="K680" s="670"/>
      <c r="L680" s="670"/>
      <c r="M680" s="670"/>
      <c r="N680" s="670"/>
      <c r="O680" s="670"/>
      <c r="P680" s="670"/>
      <c r="Q680" s="670"/>
      <c r="R680" s="670"/>
      <c r="S680" s="670"/>
      <c r="T680" s="670"/>
      <c r="U680" s="670"/>
      <c r="V680" s="670"/>
      <c r="W680" s="670"/>
    </row>
    <row r="681" spans="1:23" ht="12.75" customHeight="1" x14ac:dyDescent="0.25">
      <c r="A681" s="670"/>
      <c r="B681" s="670"/>
      <c r="C681" s="670"/>
      <c r="D681" s="670"/>
      <c r="E681" s="670"/>
      <c r="F681" s="670"/>
      <c r="G681" s="670"/>
      <c r="H681" s="670"/>
      <c r="I681" s="670"/>
      <c r="J681" s="670"/>
      <c r="K681" s="670"/>
      <c r="L681" s="670"/>
      <c r="M681" s="670"/>
      <c r="N681" s="670"/>
      <c r="O681" s="670"/>
      <c r="P681" s="670"/>
      <c r="Q681" s="670"/>
      <c r="R681" s="670"/>
      <c r="S681" s="670"/>
      <c r="T681" s="670"/>
      <c r="U681" s="670"/>
      <c r="V681" s="670"/>
      <c r="W681" s="670"/>
    </row>
    <row r="682" spans="1:23" ht="12.75" customHeight="1" x14ac:dyDescent="0.25">
      <c r="A682" s="670"/>
      <c r="B682" s="670"/>
      <c r="C682" s="670"/>
      <c r="D682" s="670"/>
      <c r="E682" s="670"/>
      <c r="F682" s="670"/>
      <c r="G682" s="670"/>
      <c r="H682" s="670"/>
      <c r="I682" s="670"/>
      <c r="J682" s="670"/>
      <c r="K682" s="670"/>
      <c r="L682" s="670"/>
      <c r="M682" s="670"/>
      <c r="N682" s="670"/>
      <c r="O682" s="670"/>
      <c r="P682" s="670"/>
      <c r="Q682" s="670"/>
      <c r="R682" s="670"/>
      <c r="S682" s="670"/>
      <c r="T682" s="670"/>
      <c r="U682" s="670"/>
      <c r="V682" s="670"/>
      <c r="W682" s="670"/>
    </row>
    <row r="683" spans="1:23" ht="12.75" customHeight="1" x14ac:dyDescent="0.25">
      <c r="A683" s="670"/>
      <c r="B683" s="670"/>
      <c r="C683" s="670"/>
      <c r="D683" s="670"/>
      <c r="E683" s="670"/>
      <c r="F683" s="670"/>
      <c r="G683" s="670"/>
      <c r="H683" s="670"/>
      <c r="I683" s="670"/>
      <c r="J683" s="670"/>
      <c r="K683" s="670"/>
      <c r="L683" s="670"/>
      <c r="M683" s="670"/>
      <c r="N683" s="670"/>
      <c r="O683" s="670"/>
      <c r="P683" s="670"/>
      <c r="Q683" s="670"/>
      <c r="R683" s="670"/>
      <c r="S683" s="670"/>
      <c r="T683" s="670"/>
      <c r="U683" s="670"/>
      <c r="V683" s="670"/>
      <c r="W683" s="670"/>
    </row>
    <row r="684" spans="1:23" ht="12.75" customHeight="1" x14ac:dyDescent="0.25">
      <c r="A684" s="670"/>
      <c r="B684" s="670"/>
      <c r="C684" s="670"/>
      <c r="D684" s="670"/>
      <c r="E684" s="670"/>
      <c r="F684" s="670"/>
      <c r="G684" s="670"/>
      <c r="H684" s="670"/>
      <c r="I684" s="670"/>
      <c r="J684" s="670"/>
      <c r="K684" s="670"/>
      <c r="L684" s="670"/>
      <c r="M684" s="670"/>
      <c r="N684" s="670"/>
      <c r="O684" s="670"/>
      <c r="P684" s="670"/>
      <c r="Q684" s="670"/>
      <c r="R684" s="670"/>
      <c r="S684" s="670"/>
      <c r="T684" s="670"/>
      <c r="U684" s="670"/>
      <c r="V684" s="670"/>
      <c r="W684" s="670"/>
    </row>
    <row r="685" spans="1:23" ht="12.75" customHeight="1" x14ac:dyDescent="0.25">
      <c r="A685" s="670"/>
      <c r="B685" s="670"/>
      <c r="C685" s="670"/>
      <c r="D685" s="670"/>
      <c r="E685" s="670"/>
      <c r="F685" s="670"/>
      <c r="G685" s="670"/>
      <c r="H685" s="670"/>
      <c r="I685" s="670"/>
      <c r="J685" s="670"/>
      <c r="K685" s="670"/>
      <c r="L685" s="670"/>
      <c r="M685" s="670"/>
      <c r="N685" s="670"/>
      <c r="O685" s="670"/>
      <c r="P685" s="670"/>
      <c r="Q685" s="670"/>
      <c r="R685" s="670"/>
      <c r="S685" s="670"/>
      <c r="T685" s="670"/>
      <c r="U685" s="670"/>
      <c r="V685" s="670"/>
      <c r="W685" s="670"/>
    </row>
    <row r="686" spans="1:23" ht="12.75" customHeight="1" x14ac:dyDescent="0.25">
      <c r="A686" s="670"/>
      <c r="B686" s="670"/>
      <c r="C686" s="670"/>
      <c r="D686" s="670"/>
      <c r="E686" s="670"/>
      <c r="F686" s="670"/>
      <c r="G686" s="670"/>
      <c r="H686" s="670"/>
      <c r="I686" s="670"/>
      <c r="J686" s="670"/>
      <c r="K686" s="670"/>
      <c r="L686" s="670"/>
      <c r="M686" s="670"/>
      <c r="N686" s="670"/>
      <c r="O686" s="670"/>
      <c r="P686" s="670"/>
      <c r="Q686" s="670"/>
      <c r="R686" s="670"/>
      <c r="S686" s="670"/>
      <c r="T686" s="670"/>
      <c r="U686" s="670"/>
      <c r="V686" s="670"/>
      <c r="W686" s="670"/>
    </row>
    <row r="687" spans="1:23" ht="12.75" customHeight="1" x14ac:dyDescent="0.25">
      <c r="A687" s="670"/>
      <c r="B687" s="670"/>
      <c r="C687" s="670"/>
      <c r="D687" s="670"/>
      <c r="E687" s="670"/>
      <c r="F687" s="670"/>
      <c r="G687" s="670"/>
      <c r="H687" s="670"/>
      <c r="I687" s="670"/>
      <c r="J687" s="670"/>
      <c r="K687" s="670"/>
      <c r="L687" s="670"/>
      <c r="M687" s="670"/>
      <c r="N687" s="670"/>
      <c r="O687" s="670"/>
      <c r="P687" s="670"/>
      <c r="Q687" s="670"/>
      <c r="R687" s="670"/>
      <c r="S687" s="670"/>
      <c r="T687" s="670"/>
      <c r="U687" s="670"/>
      <c r="V687" s="670"/>
      <c r="W687" s="670"/>
    </row>
    <row r="688" spans="1:23" ht="12.75" customHeight="1" x14ac:dyDescent="0.25">
      <c r="A688" s="670"/>
      <c r="B688" s="670"/>
      <c r="C688" s="670"/>
      <c r="D688" s="670"/>
      <c r="E688" s="670"/>
      <c r="F688" s="670"/>
      <c r="G688" s="670"/>
      <c r="H688" s="670"/>
      <c r="I688" s="670"/>
      <c r="J688" s="670"/>
      <c r="K688" s="670"/>
      <c r="L688" s="670"/>
      <c r="M688" s="670"/>
      <c r="N688" s="670"/>
      <c r="O688" s="670"/>
      <c r="P688" s="670"/>
      <c r="Q688" s="670"/>
      <c r="R688" s="670"/>
      <c r="S688" s="670"/>
      <c r="T688" s="670"/>
      <c r="U688" s="670"/>
      <c r="V688" s="670"/>
      <c r="W688" s="670"/>
    </row>
    <row r="689" spans="1:23" ht="12.75" customHeight="1" x14ac:dyDescent="0.25">
      <c r="A689" s="670"/>
      <c r="B689" s="670"/>
      <c r="C689" s="670"/>
      <c r="D689" s="670"/>
      <c r="E689" s="670"/>
      <c r="F689" s="670"/>
      <c r="G689" s="670"/>
      <c r="H689" s="670"/>
      <c r="I689" s="670"/>
      <c r="J689" s="670"/>
      <c r="K689" s="670"/>
      <c r="L689" s="670"/>
      <c r="M689" s="670"/>
      <c r="N689" s="670"/>
      <c r="O689" s="670"/>
      <c r="P689" s="670"/>
      <c r="Q689" s="670"/>
      <c r="R689" s="670"/>
      <c r="S689" s="670"/>
      <c r="T689" s="670"/>
      <c r="U689" s="670"/>
      <c r="V689" s="670"/>
      <c r="W689" s="670"/>
    </row>
    <row r="690" spans="1:23" ht="12.75" customHeight="1" x14ac:dyDescent="0.25">
      <c r="A690" s="670"/>
      <c r="B690" s="670"/>
      <c r="C690" s="670"/>
      <c r="D690" s="670"/>
      <c r="E690" s="670"/>
      <c r="F690" s="670"/>
      <c r="G690" s="670"/>
      <c r="H690" s="670"/>
      <c r="I690" s="670"/>
      <c r="J690" s="670"/>
      <c r="K690" s="670"/>
      <c r="L690" s="670"/>
      <c r="M690" s="670"/>
      <c r="N690" s="670"/>
      <c r="O690" s="670"/>
      <c r="P690" s="670"/>
      <c r="Q690" s="670"/>
      <c r="R690" s="670"/>
      <c r="S690" s="670"/>
      <c r="T690" s="670"/>
      <c r="U690" s="670"/>
      <c r="V690" s="670"/>
      <c r="W690" s="670"/>
    </row>
    <row r="691" spans="1:23" ht="12.75" customHeight="1" x14ac:dyDescent="0.25">
      <c r="A691" s="670"/>
      <c r="B691" s="670"/>
      <c r="C691" s="670"/>
      <c r="D691" s="670"/>
      <c r="E691" s="670"/>
      <c r="F691" s="670"/>
      <c r="G691" s="670"/>
      <c r="H691" s="670"/>
      <c r="I691" s="670"/>
      <c r="J691" s="670"/>
      <c r="K691" s="670"/>
      <c r="L691" s="670"/>
      <c r="M691" s="670"/>
      <c r="N691" s="670"/>
      <c r="O691" s="670"/>
      <c r="P691" s="670"/>
      <c r="Q691" s="670"/>
      <c r="R691" s="670"/>
      <c r="S691" s="670"/>
      <c r="T691" s="670"/>
      <c r="U691" s="670"/>
      <c r="V691" s="670"/>
      <c r="W691" s="670"/>
    </row>
    <row r="692" spans="1:23" ht="12.75" customHeight="1" x14ac:dyDescent="0.25">
      <c r="A692" s="670"/>
      <c r="B692" s="670"/>
      <c r="C692" s="670"/>
      <c r="D692" s="670"/>
      <c r="E692" s="670"/>
      <c r="F692" s="670"/>
      <c r="G692" s="670"/>
      <c r="H692" s="670"/>
      <c r="I692" s="670"/>
      <c r="J692" s="670"/>
      <c r="K692" s="670"/>
      <c r="L692" s="670"/>
      <c r="M692" s="670"/>
      <c r="N692" s="670"/>
      <c r="O692" s="670"/>
      <c r="P692" s="670"/>
      <c r="Q692" s="670"/>
      <c r="R692" s="670"/>
      <c r="S692" s="670"/>
      <c r="T692" s="670"/>
      <c r="U692" s="670"/>
      <c r="V692" s="670"/>
      <c r="W692" s="670"/>
    </row>
    <row r="693" spans="1:23" ht="12.75" customHeight="1" x14ac:dyDescent="0.25">
      <c r="A693" s="670"/>
      <c r="B693" s="670"/>
      <c r="C693" s="670"/>
      <c r="D693" s="670"/>
      <c r="E693" s="670"/>
      <c r="F693" s="670"/>
      <c r="G693" s="670"/>
      <c r="H693" s="670"/>
      <c r="I693" s="670"/>
      <c r="J693" s="670"/>
      <c r="K693" s="670"/>
      <c r="L693" s="670"/>
      <c r="M693" s="670"/>
      <c r="N693" s="670"/>
      <c r="O693" s="670"/>
      <c r="P693" s="670"/>
      <c r="Q693" s="670"/>
      <c r="R693" s="670"/>
      <c r="S693" s="670"/>
      <c r="T693" s="670"/>
      <c r="U693" s="670"/>
      <c r="V693" s="670"/>
      <c r="W693" s="670"/>
    </row>
    <row r="694" spans="1:23" ht="12.75" customHeight="1" x14ac:dyDescent="0.25">
      <c r="A694" s="670"/>
      <c r="B694" s="670"/>
      <c r="C694" s="670"/>
      <c r="D694" s="670"/>
      <c r="E694" s="670"/>
      <c r="F694" s="670"/>
      <c r="G694" s="670"/>
      <c r="H694" s="670"/>
      <c r="I694" s="670"/>
      <c r="J694" s="670"/>
      <c r="K694" s="670"/>
      <c r="L694" s="670"/>
      <c r="M694" s="670"/>
      <c r="N694" s="670"/>
      <c r="O694" s="670"/>
      <c r="P694" s="670"/>
      <c r="Q694" s="670"/>
      <c r="R694" s="670"/>
      <c r="S694" s="670"/>
      <c r="T694" s="670"/>
      <c r="U694" s="670"/>
      <c r="V694" s="670"/>
      <c r="W694" s="670"/>
    </row>
    <row r="695" spans="1:23" ht="12.75" customHeight="1" x14ac:dyDescent="0.25">
      <c r="A695" s="670"/>
      <c r="B695" s="670"/>
      <c r="C695" s="670"/>
      <c r="D695" s="670"/>
      <c r="E695" s="670"/>
      <c r="F695" s="670"/>
      <c r="G695" s="670"/>
      <c r="H695" s="670"/>
      <c r="I695" s="670"/>
      <c r="J695" s="670"/>
      <c r="K695" s="670"/>
      <c r="L695" s="670"/>
      <c r="M695" s="670"/>
      <c r="N695" s="670"/>
      <c r="O695" s="670"/>
      <c r="P695" s="670"/>
      <c r="Q695" s="670"/>
      <c r="R695" s="670"/>
      <c r="S695" s="670"/>
      <c r="T695" s="670"/>
      <c r="U695" s="670"/>
      <c r="V695" s="670"/>
      <c r="W695" s="670"/>
    </row>
    <row r="696" spans="1:23" ht="12.75" customHeight="1" x14ac:dyDescent="0.25">
      <c r="A696" s="670"/>
      <c r="B696" s="670"/>
      <c r="C696" s="670"/>
      <c r="D696" s="670"/>
      <c r="E696" s="670"/>
      <c r="F696" s="670"/>
      <c r="G696" s="670"/>
      <c r="H696" s="670"/>
      <c r="I696" s="670"/>
      <c r="J696" s="670"/>
      <c r="K696" s="670"/>
      <c r="L696" s="670"/>
      <c r="M696" s="670"/>
      <c r="N696" s="670"/>
      <c r="O696" s="670"/>
      <c r="P696" s="670"/>
      <c r="Q696" s="670"/>
      <c r="R696" s="670"/>
      <c r="S696" s="670"/>
      <c r="T696" s="670"/>
      <c r="U696" s="670"/>
      <c r="V696" s="670"/>
      <c r="W696" s="670"/>
    </row>
    <row r="697" spans="1:23" ht="12.75" customHeight="1" x14ac:dyDescent="0.25">
      <c r="A697" s="670"/>
      <c r="B697" s="670"/>
      <c r="C697" s="670"/>
      <c r="D697" s="670"/>
      <c r="E697" s="670"/>
      <c r="F697" s="670"/>
      <c r="G697" s="670"/>
      <c r="H697" s="670"/>
      <c r="I697" s="670"/>
      <c r="J697" s="670"/>
      <c r="K697" s="670"/>
      <c r="L697" s="670"/>
      <c r="M697" s="670"/>
      <c r="N697" s="670"/>
      <c r="O697" s="670"/>
      <c r="P697" s="670"/>
      <c r="Q697" s="670"/>
      <c r="R697" s="670"/>
      <c r="S697" s="670"/>
      <c r="T697" s="670"/>
      <c r="U697" s="670"/>
      <c r="V697" s="670"/>
      <c r="W697" s="670"/>
    </row>
    <row r="698" spans="1:23" ht="12.75" customHeight="1" x14ac:dyDescent="0.25">
      <c r="A698" s="670"/>
      <c r="B698" s="670"/>
      <c r="C698" s="670"/>
      <c r="D698" s="670"/>
      <c r="E698" s="670"/>
      <c r="F698" s="670"/>
      <c r="G698" s="670"/>
      <c r="H698" s="670"/>
      <c r="I698" s="670"/>
      <c r="J698" s="670"/>
      <c r="K698" s="670"/>
      <c r="L698" s="670"/>
      <c r="M698" s="670"/>
      <c r="N698" s="670"/>
      <c r="O698" s="670"/>
      <c r="P698" s="670"/>
      <c r="Q698" s="670"/>
      <c r="R698" s="670"/>
      <c r="S698" s="670"/>
      <c r="T698" s="670"/>
      <c r="U698" s="670"/>
      <c r="V698" s="670"/>
      <c r="W698" s="670"/>
    </row>
    <row r="699" spans="1:23" ht="12.75" customHeight="1" x14ac:dyDescent="0.25">
      <c r="A699" s="670"/>
      <c r="B699" s="670"/>
      <c r="C699" s="670"/>
      <c r="D699" s="670"/>
      <c r="E699" s="670"/>
      <c r="F699" s="670"/>
      <c r="G699" s="670"/>
      <c r="H699" s="670"/>
      <c r="I699" s="670"/>
      <c r="J699" s="670"/>
      <c r="K699" s="670"/>
      <c r="L699" s="670"/>
      <c r="M699" s="670"/>
      <c r="N699" s="670"/>
      <c r="O699" s="670"/>
      <c r="P699" s="670"/>
      <c r="Q699" s="670"/>
      <c r="R699" s="670"/>
      <c r="S699" s="670"/>
      <c r="T699" s="670"/>
      <c r="U699" s="670"/>
      <c r="V699" s="670"/>
      <c r="W699" s="670"/>
    </row>
    <row r="700" spans="1:23" ht="12.75" customHeight="1" x14ac:dyDescent="0.25">
      <c r="A700" s="670"/>
      <c r="B700" s="670"/>
      <c r="C700" s="670"/>
      <c r="D700" s="670"/>
      <c r="E700" s="670"/>
      <c r="F700" s="670"/>
      <c r="G700" s="670"/>
      <c r="H700" s="670"/>
      <c r="I700" s="670"/>
      <c r="J700" s="670"/>
      <c r="K700" s="670"/>
      <c r="L700" s="670"/>
      <c r="M700" s="670"/>
      <c r="N700" s="670"/>
      <c r="O700" s="670"/>
      <c r="P700" s="670"/>
      <c r="Q700" s="670"/>
      <c r="R700" s="670"/>
      <c r="S700" s="670"/>
      <c r="T700" s="670"/>
      <c r="U700" s="670"/>
      <c r="V700" s="670"/>
      <c r="W700" s="670"/>
    </row>
    <row r="701" spans="1:23" ht="12.75" customHeight="1" x14ac:dyDescent="0.25">
      <c r="A701" s="670"/>
      <c r="B701" s="670"/>
      <c r="C701" s="670"/>
      <c r="D701" s="670"/>
      <c r="E701" s="670"/>
      <c r="F701" s="670"/>
      <c r="G701" s="670"/>
      <c r="H701" s="670"/>
      <c r="I701" s="670"/>
      <c r="J701" s="670"/>
      <c r="K701" s="670"/>
      <c r="L701" s="670"/>
      <c r="M701" s="670"/>
      <c r="N701" s="670"/>
      <c r="O701" s="670"/>
      <c r="P701" s="670"/>
      <c r="Q701" s="670"/>
      <c r="R701" s="670"/>
      <c r="S701" s="670"/>
      <c r="T701" s="670"/>
      <c r="U701" s="670"/>
      <c r="V701" s="670"/>
      <c r="W701" s="670"/>
    </row>
    <row r="702" spans="1:23" ht="12.75" customHeight="1" x14ac:dyDescent="0.25">
      <c r="A702" s="670"/>
      <c r="B702" s="670"/>
      <c r="C702" s="670"/>
      <c r="D702" s="670"/>
      <c r="E702" s="670"/>
      <c r="F702" s="670"/>
      <c r="G702" s="670"/>
      <c r="H702" s="670"/>
      <c r="I702" s="670"/>
      <c r="J702" s="670"/>
      <c r="K702" s="670"/>
      <c r="L702" s="670"/>
      <c r="M702" s="670"/>
      <c r="N702" s="670"/>
      <c r="O702" s="670"/>
      <c r="P702" s="670"/>
      <c r="Q702" s="670"/>
      <c r="R702" s="670"/>
      <c r="S702" s="670"/>
      <c r="T702" s="670"/>
      <c r="U702" s="670"/>
      <c r="V702" s="670"/>
      <c r="W702" s="670"/>
    </row>
    <row r="703" spans="1:23" ht="12.75" customHeight="1" x14ac:dyDescent="0.25">
      <c r="A703" s="670"/>
      <c r="B703" s="670"/>
      <c r="C703" s="670"/>
      <c r="D703" s="670"/>
      <c r="E703" s="670"/>
      <c r="F703" s="670"/>
      <c r="G703" s="670"/>
      <c r="H703" s="670"/>
      <c r="I703" s="670"/>
      <c r="J703" s="670"/>
      <c r="K703" s="670"/>
      <c r="L703" s="670"/>
      <c r="M703" s="670"/>
      <c r="N703" s="670"/>
      <c r="O703" s="670"/>
      <c r="P703" s="670"/>
      <c r="Q703" s="670"/>
      <c r="R703" s="670"/>
      <c r="S703" s="670"/>
      <c r="T703" s="670"/>
      <c r="U703" s="670"/>
      <c r="V703" s="670"/>
      <c r="W703" s="670"/>
    </row>
    <row r="704" spans="1:23" ht="12.75" customHeight="1" x14ac:dyDescent="0.25">
      <c r="A704" s="670"/>
      <c r="B704" s="670"/>
      <c r="C704" s="670"/>
      <c r="D704" s="670"/>
      <c r="E704" s="670"/>
      <c r="F704" s="670"/>
      <c r="G704" s="670"/>
      <c r="H704" s="670"/>
      <c r="I704" s="670"/>
      <c r="J704" s="670"/>
      <c r="K704" s="670"/>
      <c r="L704" s="670"/>
      <c r="M704" s="670"/>
      <c r="N704" s="670"/>
      <c r="O704" s="670"/>
      <c r="P704" s="670"/>
      <c r="Q704" s="670"/>
      <c r="R704" s="670"/>
      <c r="S704" s="670"/>
      <c r="T704" s="670"/>
      <c r="U704" s="670"/>
      <c r="V704" s="670"/>
      <c r="W704" s="670"/>
    </row>
    <row r="705" spans="1:23" ht="12.75" customHeight="1" x14ac:dyDescent="0.25">
      <c r="A705" s="670"/>
      <c r="B705" s="670"/>
      <c r="C705" s="670"/>
      <c r="D705" s="670"/>
      <c r="E705" s="670"/>
      <c r="F705" s="670"/>
      <c r="G705" s="670"/>
      <c r="H705" s="670"/>
      <c r="I705" s="670"/>
      <c r="J705" s="670"/>
      <c r="K705" s="670"/>
      <c r="L705" s="670"/>
      <c r="M705" s="670"/>
      <c r="N705" s="670"/>
      <c r="O705" s="670"/>
      <c r="P705" s="670"/>
      <c r="Q705" s="670"/>
      <c r="R705" s="670"/>
      <c r="S705" s="670"/>
      <c r="T705" s="670"/>
      <c r="U705" s="670"/>
      <c r="V705" s="670"/>
      <c r="W705" s="670"/>
    </row>
    <row r="706" spans="1:23" ht="12.75" customHeight="1" x14ac:dyDescent="0.25">
      <c r="A706" s="670"/>
      <c r="B706" s="670"/>
      <c r="C706" s="670"/>
      <c r="D706" s="670"/>
      <c r="E706" s="670"/>
      <c r="F706" s="670"/>
      <c r="G706" s="670"/>
      <c r="H706" s="670"/>
      <c r="I706" s="670"/>
      <c r="J706" s="670"/>
      <c r="K706" s="670"/>
      <c r="L706" s="670"/>
      <c r="M706" s="670"/>
      <c r="N706" s="670"/>
      <c r="O706" s="670"/>
      <c r="P706" s="670"/>
      <c r="Q706" s="670"/>
      <c r="R706" s="670"/>
      <c r="S706" s="670"/>
      <c r="T706" s="670"/>
      <c r="U706" s="670"/>
      <c r="V706" s="670"/>
      <c r="W706" s="670"/>
    </row>
    <row r="707" spans="1:23" ht="12.75" customHeight="1" x14ac:dyDescent="0.25">
      <c r="A707" s="670"/>
      <c r="B707" s="670"/>
      <c r="C707" s="670"/>
      <c r="D707" s="670"/>
      <c r="E707" s="670"/>
      <c r="F707" s="670"/>
      <c r="G707" s="670"/>
      <c r="H707" s="670"/>
      <c r="I707" s="670"/>
      <c r="J707" s="670"/>
      <c r="K707" s="670"/>
      <c r="L707" s="670"/>
      <c r="M707" s="670"/>
      <c r="N707" s="670"/>
      <c r="O707" s="670"/>
      <c r="P707" s="670"/>
      <c r="Q707" s="670"/>
      <c r="R707" s="670"/>
      <c r="S707" s="670"/>
      <c r="T707" s="670"/>
      <c r="U707" s="670"/>
      <c r="V707" s="670"/>
      <c r="W707" s="670"/>
    </row>
    <row r="708" spans="1:23" ht="12.75" customHeight="1" x14ac:dyDescent="0.25">
      <c r="A708" s="670"/>
      <c r="B708" s="670"/>
      <c r="C708" s="670"/>
      <c r="D708" s="670"/>
      <c r="E708" s="670"/>
      <c r="F708" s="670"/>
      <c r="G708" s="670"/>
      <c r="H708" s="670"/>
      <c r="I708" s="670"/>
      <c r="J708" s="670"/>
      <c r="K708" s="670"/>
      <c r="L708" s="670"/>
      <c r="M708" s="670"/>
      <c r="N708" s="670"/>
      <c r="O708" s="670"/>
      <c r="P708" s="670"/>
      <c r="Q708" s="670"/>
      <c r="R708" s="670"/>
      <c r="S708" s="670"/>
      <c r="T708" s="670"/>
      <c r="U708" s="670"/>
      <c r="V708" s="670"/>
      <c r="W708" s="670"/>
    </row>
    <row r="709" spans="1:23" ht="12.75" customHeight="1" x14ac:dyDescent="0.25">
      <c r="A709" s="670"/>
      <c r="B709" s="670"/>
      <c r="C709" s="670"/>
      <c r="D709" s="670"/>
      <c r="E709" s="670"/>
      <c r="F709" s="670"/>
      <c r="G709" s="670"/>
      <c r="H709" s="670"/>
      <c r="I709" s="670"/>
      <c r="J709" s="670"/>
      <c r="K709" s="670"/>
      <c r="L709" s="670"/>
      <c r="M709" s="670"/>
      <c r="N709" s="670"/>
      <c r="O709" s="670"/>
      <c r="P709" s="670"/>
      <c r="Q709" s="670"/>
      <c r="R709" s="670"/>
      <c r="S709" s="670"/>
      <c r="T709" s="670"/>
      <c r="U709" s="670"/>
      <c r="V709" s="670"/>
      <c r="W709" s="670"/>
    </row>
    <row r="710" spans="1:23" ht="12.75" customHeight="1" x14ac:dyDescent="0.25">
      <c r="A710" s="670"/>
      <c r="B710" s="670"/>
      <c r="C710" s="670"/>
      <c r="D710" s="670"/>
      <c r="E710" s="670"/>
      <c r="F710" s="670"/>
      <c r="G710" s="670"/>
      <c r="H710" s="670"/>
      <c r="I710" s="670"/>
      <c r="J710" s="670"/>
      <c r="K710" s="670"/>
      <c r="L710" s="670"/>
      <c r="M710" s="670"/>
      <c r="N710" s="670"/>
      <c r="O710" s="670"/>
      <c r="P710" s="670"/>
      <c r="Q710" s="670"/>
      <c r="R710" s="670"/>
      <c r="S710" s="670"/>
      <c r="T710" s="670"/>
      <c r="U710" s="670"/>
      <c r="V710" s="670"/>
      <c r="W710" s="670"/>
    </row>
    <row r="711" spans="1:23" ht="12.75" customHeight="1" x14ac:dyDescent="0.25">
      <c r="A711" s="670"/>
      <c r="B711" s="670"/>
      <c r="C711" s="670"/>
      <c r="D711" s="670"/>
      <c r="E711" s="670"/>
      <c r="F711" s="670"/>
      <c r="G711" s="670"/>
      <c r="H711" s="670"/>
      <c r="I711" s="670"/>
      <c r="J711" s="670"/>
      <c r="K711" s="670"/>
      <c r="L711" s="670"/>
      <c r="M711" s="670"/>
      <c r="N711" s="670"/>
      <c r="O711" s="670"/>
      <c r="P711" s="670"/>
      <c r="Q711" s="670"/>
      <c r="R711" s="670"/>
      <c r="S711" s="670"/>
      <c r="T711" s="670"/>
      <c r="U711" s="670"/>
      <c r="V711" s="670"/>
      <c r="W711" s="670"/>
    </row>
    <row r="712" spans="1:23" ht="12.75" customHeight="1" x14ac:dyDescent="0.25">
      <c r="A712" s="670"/>
      <c r="B712" s="670"/>
      <c r="C712" s="670"/>
      <c r="D712" s="670"/>
      <c r="E712" s="670"/>
      <c r="F712" s="670"/>
      <c r="G712" s="670"/>
      <c r="H712" s="670"/>
      <c r="I712" s="670"/>
      <c r="J712" s="670"/>
      <c r="K712" s="670"/>
      <c r="L712" s="670"/>
      <c r="M712" s="670"/>
      <c r="N712" s="670"/>
      <c r="O712" s="670"/>
      <c r="P712" s="670"/>
      <c r="Q712" s="670"/>
      <c r="R712" s="670"/>
      <c r="S712" s="670"/>
      <c r="T712" s="670"/>
      <c r="U712" s="670"/>
      <c r="V712" s="670"/>
      <c r="W712" s="670"/>
    </row>
    <row r="713" spans="1:23" ht="12.75" customHeight="1" x14ac:dyDescent="0.25">
      <c r="A713" s="670"/>
      <c r="B713" s="670"/>
      <c r="C713" s="670"/>
      <c r="D713" s="670"/>
      <c r="E713" s="670"/>
      <c r="F713" s="670"/>
      <c r="G713" s="670"/>
      <c r="H713" s="670"/>
      <c r="I713" s="670"/>
      <c r="J713" s="670"/>
      <c r="K713" s="670"/>
      <c r="L713" s="670"/>
      <c r="M713" s="670"/>
      <c r="N713" s="670"/>
      <c r="O713" s="670"/>
      <c r="P713" s="670"/>
      <c r="Q713" s="670"/>
      <c r="R713" s="670"/>
      <c r="S713" s="670"/>
      <c r="T713" s="670"/>
      <c r="U713" s="670"/>
      <c r="V713" s="670"/>
      <c r="W713" s="670"/>
    </row>
    <row r="714" spans="1:23" ht="12.75" customHeight="1" x14ac:dyDescent="0.25">
      <c r="A714" s="670"/>
      <c r="B714" s="670"/>
      <c r="C714" s="670"/>
      <c r="D714" s="670"/>
      <c r="E714" s="670"/>
      <c r="F714" s="670"/>
      <c r="G714" s="670"/>
      <c r="H714" s="670"/>
      <c r="I714" s="670"/>
      <c r="J714" s="670"/>
      <c r="K714" s="670"/>
      <c r="L714" s="670"/>
      <c r="M714" s="670"/>
      <c r="N714" s="670"/>
      <c r="O714" s="670"/>
      <c r="P714" s="670"/>
      <c r="Q714" s="670"/>
      <c r="R714" s="670"/>
      <c r="S714" s="670"/>
      <c r="T714" s="670"/>
      <c r="U714" s="670"/>
      <c r="V714" s="670"/>
      <c r="W714" s="670"/>
    </row>
    <row r="715" spans="1:23" ht="12.75" customHeight="1" x14ac:dyDescent="0.25">
      <c r="A715" s="670"/>
      <c r="B715" s="670"/>
      <c r="C715" s="670"/>
      <c r="D715" s="670"/>
      <c r="E715" s="670"/>
      <c r="F715" s="670"/>
      <c r="G715" s="670"/>
      <c r="H715" s="670"/>
      <c r="I715" s="670"/>
      <c r="J715" s="670"/>
      <c r="K715" s="670"/>
      <c r="L715" s="670"/>
      <c r="M715" s="670"/>
      <c r="N715" s="670"/>
      <c r="O715" s="670"/>
      <c r="P715" s="670"/>
      <c r="Q715" s="670"/>
      <c r="R715" s="670"/>
      <c r="S715" s="670"/>
      <c r="T715" s="670"/>
      <c r="U715" s="670"/>
      <c r="V715" s="670"/>
      <c r="W715" s="670"/>
    </row>
    <row r="716" spans="1:23" ht="12.75" customHeight="1" x14ac:dyDescent="0.25">
      <c r="A716" s="670"/>
      <c r="B716" s="670"/>
      <c r="C716" s="670"/>
      <c r="D716" s="670"/>
      <c r="E716" s="670"/>
      <c r="F716" s="670"/>
      <c r="G716" s="670"/>
      <c r="H716" s="670"/>
      <c r="I716" s="670"/>
      <c r="J716" s="670"/>
      <c r="K716" s="670"/>
      <c r="L716" s="670"/>
      <c r="M716" s="670"/>
      <c r="N716" s="670"/>
      <c r="O716" s="670"/>
      <c r="P716" s="670"/>
      <c r="Q716" s="670"/>
      <c r="R716" s="670"/>
      <c r="S716" s="670"/>
      <c r="T716" s="670"/>
      <c r="U716" s="670"/>
      <c r="V716" s="670"/>
      <c r="W716" s="670"/>
    </row>
    <row r="717" spans="1:23" ht="12.75" customHeight="1" x14ac:dyDescent="0.25">
      <c r="A717" s="670"/>
      <c r="B717" s="670"/>
      <c r="C717" s="670"/>
      <c r="D717" s="670"/>
      <c r="E717" s="670"/>
      <c r="F717" s="670"/>
      <c r="G717" s="670"/>
      <c r="H717" s="670"/>
      <c r="I717" s="670"/>
      <c r="J717" s="670"/>
      <c r="K717" s="670"/>
      <c r="L717" s="670"/>
      <c r="M717" s="670"/>
      <c r="N717" s="670"/>
      <c r="O717" s="670"/>
      <c r="P717" s="670"/>
      <c r="Q717" s="670"/>
      <c r="R717" s="670"/>
      <c r="S717" s="670"/>
      <c r="T717" s="670"/>
      <c r="U717" s="670"/>
      <c r="V717" s="670"/>
      <c r="W717" s="670"/>
    </row>
    <row r="718" spans="1:23" ht="12.75" customHeight="1" x14ac:dyDescent="0.25">
      <c r="A718" s="670"/>
      <c r="B718" s="670"/>
      <c r="C718" s="670"/>
      <c r="D718" s="670"/>
      <c r="E718" s="670"/>
      <c r="F718" s="670"/>
      <c r="G718" s="670"/>
      <c r="H718" s="670"/>
      <c r="I718" s="670"/>
      <c r="J718" s="670"/>
      <c r="K718" s="670"/>
      <c r="L718" s="670"/>
      <c r="M718" s="670"/>
      <c r="N718" s="670"/>
      <c r="O718" s="670"/>
      <c r="P718" s="670"/>
      <c r="Q718" s="670"/>
      <c r="R718" s="670"/>
      <c r="S718" s="670"/>
      <c r="T718" s="670"/>
      <c r="U718" s="670"/>
      <c r="V718" s="670"/>
      <c r="W718" s="670"/>
    </row>
    <row r="719" spans="1:23" ht="12.75" customHeight="1" x14ac:dyDescent="0.25">
      <c r="A719" s="670"/>
      <c r="B719" s="670"/>
      <c r="C719" s="670"/>
      <c r="D719" s="670"/>
      <c r="E719" s="670"/>
      <c r="F719" s="670"/>
      <c r="G719" s="670"/>
      <c r="H719" s="670"/>
      <c r="I719" s="670"/>
      <c r="J719" s="670"/>
      <c r="K719" s="670"/>
      <c r="L719" s="670"/>
      <c r="M719" s="670"/>
      <c r="N719" s="670"/>
      <c r="O719" s="670"/>
      <c r="P719" s="670"/>
      <c r="Q719" s="670"/>
      <c r="R719" s="670"/>
      <c r="S719" s="670"/>
      <c r="T719" s="670"/>
      <c r="U719" s="670"/>
      <c r="V719" s="670"/>
      <c r="W719" s="670"/>
    </row>
    <row r="720" spans="1:23" ht="12.75" customHeight="1" x14ac:dyDescent="0.25">
      <c r="A720" s="670"/>
      <c r="B720" s="670"/>
      <c r="C720" s="670"/>
      <c r="D720" s="670"/>
      <c r="E720" s="670"/>
      <c r="F720" s="670"/>
      <c r="G720" s="670"/>
      <c r="H720" s="670"/>
      <c r="I720" s="670"/>
      <c r="J720" s="670"/>
      <c r="K720" s="670"/>
      <c r="L720" s="670"/>
      <c r="M720" s="670"/>
      <c r="N720" s="670"/>
      <c r="O720" s="670"/>
      <c r="P720" s="670"/>
      <c r="Q720" s="670"/>
      <c r="R720" s="670"/>
      <c r="S720" s="670"/>
      <c r="T720" s="670"/>
      <c r="U720" s="670"/>
      <c r="V720" s="670"/>
      <c r="W720" s="670"/>
    </row>
    <row r="721" spans="1:23" ht="12.75" customHeight="1" x14ac:dyDescent="0.25">
      <c r="A721" s="670"/>
      <c r="B721" s="670"/>
      <c r="C721" s="670"/>
      <c r="D721" s="670"/>
      <c r="E721" s="670"/>
      <c r="F721" s="670"/>
      <c r="G721" s="670"/>
      <c r="H721" s="670"/>
      <c r="I721" s="670"/>
      <c r="J721" s="670"/>
      <c r="K721" s="670"/>
      <c r="L721" s="670"/>
      <c r="M721" s="670"/>
      <c r="N721" s="670"/>
      <c r="O721" s="670"/>
      <c r="P721" s="670"/>
      <c r="Q721" s="670"/>
      <c r="R721" s="670"/>
      <c r="S721" s="670"/>
      <c r="T721" s="670"/>
      <c r="U721" s="670"/>
      <c r="V721" s="670"/>
      <c r="W721" s="670"/>
    </row>
    <row r="722" spans="1:23" ht="12.75" customHeight="1" x14ac:dyDescent="0.25">
      <c r="A722" s="670"/>
      <c r="B722" s="670"/>
      <c r="C722" s="670"/>
      <c r="D722" s="670"/>
      <c r="E722" s="670"/>
      <c r="F722" s="670"/>
      <c r="G722" s="670"/>
      <c r="H722" s="670"/>
      <c r="I722" s="670"/>
      <c r="J722" s="670"/>
      <c r="K722" s="670"/>
      <c r="L722" s="670"/>
      <c r="M722" s="670"/>
      <c r="N722" s="670"/>
      <c r="O722" s="670"/>
      <c r="P722" s="670"/>
      <c r="Q722" s="670"/>
      <c r="R722" s="670"/>
      <c r="S722" s="670"/>
      <c r="T722" s="670"/>
      <c r="U722" s="670"/>
      <c r="V722" s="670"/>
      <c r="W722" s="670"/>
    </row>
    <row r="723" spans="1:23" ht="12.75" customHeight="1" x14ac:dyDescent="0.25">
      <c r="A723" s="670"/>
      <c r="B723" s="670"/>
      <c r="C723" s="670"/>
      <c r="D723" s="670"/>
      <c r="E723" s="670"/>
      <c r="F723" s="670"/>
      <c r="G723" s="670"/>
      <c r="H723" s="670"/>
      <c r="I723" s="670"/>
      <c r="J723" s="670"/>
      <c r="K723" s="670"/>
      <c r="L723" s="670"/>
      <c r="M723" s="670"/>
      <c r="N723" s="670"/>
      <c r="O723" s="670"/>
      <c r="P723" s="670"/>
      <c r="Q723" s="670"/>
      <c r="R723" s="670"/>
      <c r="S723" s="670"/>
      <c r="T723" s="670"/>
      <c r="U723" s="670"/>
      <c r="V723" s="670"/>
      <c r="W723" s="670"/>
    </row>
    <row r="724" spans="1:23" ht="12.75" customHeight="1" x14ac:dyDescent="0.25">
      <c r="A724" s="670"/>
      <c r="B724" s="670"/>
      <c r="C724" s="670"/>
      <c r="D724" s="670"/>
      <c r="E724" s="670"/>
      <c r="F724" s="670"/>
      <c r="G724" s="670"/>
      <c r="H724" s="670"/>
      <c r="I724" s="670"/>
      <c r="J724" s="670"/>
      <c r="K724" s="670"/>
      <c r="L724" s="670"/>
      <c r="M724" s="670"/>
      <c r="N724" s="670"/>
      <c r="O724" s="670"/>
      <c r="P724" s="670"/>
      <c r="Q724" s="670"/>
      <c r="R724" s="670"/>
      <c r="S724" s="670"/>
      <c r="T724" s="670"/>
      <c r="U724" s="670"/>
      <c r="V724" s="670"/>
      <c r="W724" s="670"/>
    </row>
    <row r="725" spans="1:23" ht="12.75" customHeight="1" x14ac:dyDescent="0.25">
      <c r="A725" s="670"/>
      <c r="B725" s="670"/>
      <c r="C725" s="670"/>
      <c r="D725" s="670"/>
      <c r="E725" s="670"/>
      <c r="F725" s="670"/>
      <c r="G725" s="670"/>
      <c r="H725" s="670"/>
      <c r="I725" s="670"/>
      <c r="J725" s="670"/>
      <c r="K725" s="670"/>
      <c r="L725" s="670"/>
      <c r="M725" s="670"/>
      <c r="N725" s="670"/>
      <c r="O725" s="670"/>
      <c r="P725" s="670"/>
      <c r="Q725" s="670"/>
      <c r="R725" s="670"/>
      <c r="S725" s="670"/>
      <c r="T725" s="670"/>
      <c r="U725" s="670"/>
      <c r="V725" s="670"/>
      <c r="W725" s="670"/>
    </row>
    <row r="726" spans="1:23" ht="12.75" customHeight="1" x14ac:dyDescent="0.25">
      <c r="A726" s="670"/>
      <c r="B726" s="670"/>
      <c r="C726" s="670"/>
      <c r="D726" s="670"/>
      <c r="E726" s="670"/>
      <c r="F726" s="670"/>
      <c r="G726" s="670"/>
      <c r="H726" s="670"/>
      <c r="I726" s="670"/>
      <c r="J726" s="670"/>
      <c r="K726" s="670"/>
      <c r="L726" s="670"/>
      <c r="M726" s="670"/>
      <c r="N726" s="670"/>
      <c r="O726" s="670"/>
      <c r="P726" s="670"/>
      <c r="Q726" s="670"/>
      <c r="R726" s="670"/>
      <c r="S726" s="670"/>
      <c r="T726" s="670"/>
      <c r="U726" s="670"/>
      <c r="V726" s="670"/>
      <c r="W726" s="670"/>
    </row>
    <row r="727" spans="1:23" ht="12.75" customHeight="1" x14ac:dyDescent="0.25">
      <c r="A727" s="670"/>
      <c r="B727" s="670"/>
      <c r="C727" s="670"/>
      <c r="D727" s="670"/>
      <c r="E727" s="670"/>
      <c r="F727" s="670"/>
      <c r="G727" s="670"/>
      <c r="H727" s="670"/>
      <c r="I727" s="670"/>
      <c r="J727" s="670"/>
      <c r="K727" s="670"/>
      <c r="L727" s="670"/>
      <c r="M727" s="670"/>
      <c r="N727" s="670"/>
      <c r="O727" s="670"/>
      <c r="P727" s="670"/>
      <c r="Q727" s="670"/>
      <c r="R727" s="670"/>
      <c r="S727" s="670"/>
      <c r="T727" s="670"/>
      <c r="U727" s="670"/>
      <c r="V727" s="670"/>
      <c r="W727" s="670"/>
    </row>
    <row r="728" spans="1:23" ht="12.75" customHeight="1" x14ac:dyDescent="0.25">
      <c r="A728" s="670"/>
      <c r="B728" s="670"/>
      <c r="C728" s="670"/>
      <c r="D728" s="670"/>
      <c r="E728" s="670"/>
      <c r="F728" s="670"/>
      <c r="G728" s="670"/>
      <c r="H728" s="670"/>
      <c r="I728" s="670"/>
      <c r="J728" s="670"/>
      <c r="K728" s="670"/>
      <c r="L728" s="670"/>
      <c r="M728" s="670"/>
      <c r="N728" s="670"/>
      <c r="O728" s="670"/>
      <c r="P728" s="670"/>
      <c r="Q728" s="670"/>
      <c r="R728" s="670"/>
      <c r="S728" s="670"/>
      <c r="T728" s="670"/>
      <c r="U728" s="670"/>
      <c r="V728" s="670"/>
      <c r="W728" s="670"/>
    </row>
    <row r="729" spans="1:23" ht="12.75" customHeight="1" x14ac:dyDescent="0.25">
      <c r="A729" s="670"/>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row>
    <row r="730" spans="1:23" ht="12.75" customHeight="1" x14ac:dyDescent="0.25">
      <c r="A730" s="670"/>
      <c r="B730" s="670"/>
      <c r="C730" s="670"/>
      <c r="D730" s="670"/>
      <c r="E730" s="670"/>
      <c r="F730" s="670"/>
      <c r="G730" s="670"/>
      <c r="H730" s="670"/>
      <c r="I730" s="670"/>
      <c r="J730" s="670"/>
      <c r="K730" s="670"/>
      <c r="L730" s="670"/>
      <c r="M730" s="670"/>
      <c r="N730" s="670"/>
      <c r="O730" s="670"/>
      <c r="P730" s="670"/>
      <c r="Q730" s="670"/>
      <c r="R730" s="670"/>
      <c r="S730" s="670"/>
      <c r="T730" s="670"/>
      <c r="U730" s="670"/>
      <c r="V730" s="670"/>
      <c r="W730" s="670"/>
    </row>
    <row r="731" spans="1:23" ht="12.75" customHeight="1" x14ac:dyDescent="0.25">
      <c r="A731" s="670"/>
      <c r="B731" s="670"/>
      <c r="C731" s="670"/>
      <c r="D731" s="670"/>
      <c r="E731" s="670"/>
      <c r="F731" s="670"/>
      <c r="G731" s="670"/>
      <c r="H731" s="670"/>
      <c r="I731" s="670"/>
      <c r="J731" s="670"/>
      <c r="K731" s="670"/>
      <c r="L731" s="670"/>
      <c r="M731" s="670"/>
      <c r="N731" s="670"/>
      <c r="O731" s="670"/>
      <c r="P731" s="670"/>
      <c r="Q731" s="670"/>
      <c r="R731" s="670"/>
      <c r="S731" s="670"/>
      <c r="T731" s="670"/>
      <c r="U731" s="670"/>
      <c r="V731" s="670"/>
      <c r="W731" s="670"/>
    </row>
    <row r="732" spans="1:23" ht="12.75" customHeight="1" x14ac:dyDescent="0.25">
      <c r="A732" s="670"/>
      <c r="B732" s="670"/>
      <c r="C732" s="670"/>
      <c r="D732" s="670"/>
      <c r="E732" s="670"/>
      <c r="F732" s="670"/>
      <c r="G732" s="670"/>
      <c r="H732" s="670"/>
      <c r="I732" s="670"/>
      <c r="J732" s="670"/>
      <c r="K732" s="670"/>
      <c r="L732" s="670"/>
      <c r="M732" s="670"/>
      <c r="N732" s="670"/>
      <c r="O732" s="670"/>
      <c r="P732" s="670"/>
      <c r="Q732" s="670"/>
      <c r="R732" s="670"/>
      <c r="S732" s="670"/>
      <c r="T732" s="670"/>
      <c r="U732" s="670"/>
      <c r="V732" s="670"/>
      <c r="W732" s="670"/>
    </row>
    <row r="733" spans="1:23" ht="12.75" customHeight="1" x14ac:dyDescent="0.25">
      <c r="A733" s="670"/>
      <c r="B733" s="670"/>
      <c r="C733" s="670"/>
      <c r="D733" s="670"/>
      <c r="E733" s="670"/>
      <c r="F733" s="670"/>
      <c r="G733" s="670"/>
      <c r="H733" s="670"/>
      <c r="I733" s="670"/>
      <c r="J733" s="670"/>
      <c r="K733" s="670"/>
      <c r="L733" s="670"/>
      <c r="M733" s="670"/>
      <c r="N733" s="670"/>
      <c r="O733" s="670"/>
      <c r="P733" s="670"/>
      <c r="Q733" s="670"/>
      <c r="R733" s="670"/>
      <c r="S733" s="670"/>
      <c r="T733" s="670"/>
      <c r="U733" s="670"/>
      <c r="V733" s="670"/>
      <c r="W733" s="670"/>
    </row>
    <row r="734" spans="1:23" ht="12.75" customHeight="1" x14ac:dyDescent="0.25">
      <c r="A734" s="670"/>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row>
    <row r="735" spans="1:23" ht="12.75" customHeight="1" x14ac:dyDescent="0.25">
      <c r="A735" s="670"/>
      <c r="B735" s="670"/>
      <c r="C735" s="670"/>
      <c r="D735" s="670"/>
      <c r="E735" s="670"/>
      <c r="F735" s="670"/>
      <c r="G735" s="670"/>
      <c r="H735" s="670"/>
      <c r="I735" s="670"/>
      <c r="J735" s="670"/>
      <c r="K735" s="670"/>
      <c r="L735" s="670"/>
      <c r="M735" s="670"/>
      <c r="N735" s="670"/>
      <c r="O735" s="670"/>
      <c r="P735" s="670"/>
      <c r="Q735" s="670"/>
      <c r="R735" s="670"/>
      <c r="S735" s="670"/>
      <c r="T735" s="670"/>
      <c r="U735" s="670"/>
      <c r="V735" s="670"/>
      <c r="W735" s="670"/>
    </row>
    <row r="736" spans="1:23" ht="12.75" customHeight="1" x14ac:dyDescent="0.25">
      <c r="A736" s="670"/>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row>
    <row r="737" spans="1:23" ht="12.75" customHeight="1" x14ac:dyDescent="0.25">
      <c r="A737" s="670"/>
      <c r="B737" s="670"/>
      <c r="C737" s="670"/>
      <c r="D737" s="670"/>
      <c r="E737" s="670"/>
      <c r="F737" s="670"/>
      <c r="G737" s="670"/>
      <c r="H737" s="670"/>
      <c r="I737" s="670"/>
      <c r="J737" s="670"/>
      <c r="K737" s="670"/>
      <c r="L737" s="670"/>
      <c r="M737" s="670"/>
      <c r="N737" s="670"/>
      <c r="O737" s="670"/>
      <c r="P737" s="670"/>
      <c r="Q737" s="670"/>
      <c r="R737" s="670"/>
      <c r="S737" s="670"/>
      <c r="T737" s="670"/>
      <c r="U737" s="670"/>
      <c r="V737" s="670"/>
      <c r="W737" s="670"/>
    </row>
    <row r="738" spans="1:23" ht="12.75" customHeight="1" x14ac:dyDescent="0.25">
      <c r="A738" s="670"/>
      <c r="B738" s="670"/>
      <c r="C738" s="670"/>
      <c r="D738" s="670"/>
      <c r="E738" s="670"/>
      <c r="F738" s="670"/>
      <c r="G738" s="670"/>
      <c r="H738" s="670"/>
      <c r="I738" s="670"/>
      <c r="J738" s="670"/>
      <c r="K738" s="670"/>
      <c r="L738" s="670"/>
      <c r="M738" s="670"/>
      <c r="N738" s="670"/>
      <c r="O738" s="670"/>
      <c r="P738" s="670"/>
      <c r="Q738" s="670"/>
      <c r="R738" s="670"/>
      <c r="S738" s="670"/>
      <c r="T738" s="670"/>
      <c r="U738" s="670"/>
      <c r="V738" s="670"/>
      <c r="W738" s="670"/>
    </row>
    <row r="739" spans="1:23" ht="12.75" customHeight="1" x14ac:dyDescent="0.25">
      <c r="A739" s="670"/>
      <c r="B739" s="670"/>
      <c r="C739" s="670"/>
      <c r="D739" s="670"/>
      <c r="E739" s="670"/>
      <c r="F739" s="670"/>
      <c r="G739" s="670"/>
      <c r="H739" s="670"/>
      <c r="I739" s="670"/>
      <c r="J739" s="670"/>
      <c r="K739" s="670"/>
      <c r="L739" s="670"/>
      <c r="M739" s="670"/>
      <c r="N739" s="670"/>
      <c r="O739" s="670"/>
      <c r="P739" s="670"/>
      <c r="Q739" s="670"/>
      <c r="R739" s="670"/>
      <c r="S739" s="670"/>
      <c r="T739" s="670"/>
      <c r="U739" s="670"/>
      <c r="V739" s="670"/>
      <c r="W739" s="670"/>
    </row>
    <row r="740" spans="1:23" ht="12.75" customHeight="1" x14ac:dyDescent="0.25">
      <c r="A740" s="670"/>
      <c r="B740" s="670"/>
      <c r="C740" s="670"/>
      <c r="D740" s="670"/>
      <c r="E740" s="670"/>
      <c r="F740" s="670"/>
      <c r="G740" s="670"/>
      <c r="H740" s="670"/>
      <c r="I740" s="670"/>
      <c r="J740" s="670"/>
      <c r="K740" s="670"/>
      <c r="L740" s="670"/>
      <c r="M740" s="670"/>
      <c r="N740" s="670"/>
      <c r="O740" s="670"/>
      <c r="P740" s="670"/>
      <c r="Q740" s="670"/>
      <c r="R740" s="670"/>
      <c r="S740" s="670"/>
      <c r="T740" s="670"/>
      <c r="U740" s="670"/>
      <c r="V740" s="670"/>
      <c r="W740" s="670"/>
    </row>
    <row r="741" spans="1:23" ht="12.75" customHeight="1" x14ac:dyDescent="0.25">
      <c r="A741" s="670"/>
      <c r="B741" s="670"/>
      <c r="C741" s="670"/>
      <c r="D741" s="670"/>
      <c r="E741" s="670"/>
      <c r="F741" s="670"/>
      <c r="G741" s="670"/>
      <c r="H741" s="670"/>
      <c r="I741" s="670"/>
      <c r="J741" s="670"/>
      <c r="K741" s="670"/>
      <c r="L741" s="670"/>
      <c r="M741" s="670"/>
      <c r="N741" s="670"/>
      <c r="O741" s="670"/>
      <c r="P741" s="670"/>
      <c r="Q741" s="670"/>
      <c r="R741" s="670"/>
      <c r="S741" s="670"/>
      <c r="T741" s="670"/>
      <c r="U741" s="670"/>
      <c r="V741" s="670"/>
      <c r="W741" s="670"/>
    </row>
    <row r="742" spans="1:23" ht="12.75" customHeight="1" x14ac:dyDescent="0.25">
      <c r="A742" s="670"/>
      <c r="B742" s="670"/>
      <c r="C742" s="670"/>
      <c r="D742" s="670"/>
      <c r="E742" s="670"/>
      <c r="F742" s="670"/>
      <c r="G742" s="670"/>
      <c r="H742" s="670"/>
      <c r="I742" s="670"/>
      <c r="J742" s="670"/>
      <c r="K742" s="670"/>
      <c r="L742" s="670"/>
      <c r="M742" s="670"/>
      <c r="N742" s="670"/>
      <c r="O742" s="670"/>
      <c r="P742" s="670"/>
      <c r="Q742" s="670"/>
      <c r="R742" s="670"/>
      <c r="S742" s="670"/>
      <c r="T742" s="670"/>
      <c r="U742" s="670"/>
      <c r="V742" s="670"/>
      <c r="W742" s="670"/>
    </row>
    <row r="743" spans="1:23" ht="12.75" customHeight="1" x14ac:dyDescent="0.25">
      <c r="A743" s="670"/>
      <c r="B743" s="670"/>
      <c r="C743" s="670"/>
      <c r="D743" s="670"/>
      <c r="E743" s="670"/>
      <c r="F743" s="670"/>
      <c r="G743" s="670"/>
      <c r="H743" s="670"/>
      <c r="I743" s="670"/>
      <c r="J743" s="670"/>
      <c r="K743" s="670"/>
      <c r="L743" s="670"/>
      <c r="M743" s="670"/>
      <c r="N743" s="670"/>
      <c r="O743" s="670"/>
      <c r="P743" s="670"/>
      <c r="Q743" s="670"/>
      <c r="R743" s="670"/>
      <c r="S743" s="670"/>
      <c r="T743" s="670"/>
      <c r="U743" s="670"/>
      <c r="V743" s="670"/>
      <c r="W743" s="670"/>
    </row>
    <row r="744" spans="1:23" ht="12.75" customHeight="1" x14ac:dyDescent="0.25">
      <c r="A744" s="670"/>
      <c r="B744" s="670"/>
      <c r="C744" s="670"/>
      <c r="D744" s="670"/>
      <c r="E744" s="670"/>
      <c r="F744" s="670"/>
      <c r="G744" s="670"/>
      <c r="H744" s="670"/>
      <c r="I744" s="670"/>
      <c r="J744" s="670"/>
      <c r="K744" s="670"/>
      <c r="L744" s="670"/>
      <c r="M744" s="670"/>
      <c r="N744" s="670"/>
      <c r="O744" s="670"/>
      <c r="P744" s="670"/>
      <c r="Q744" s="670"/>
      <c r="R744" s="670"/>
      <c r="S744" s="670"/>
      <c r="T744" s="670"/>
      <c r="U744" s="670"/>
      <c r="V744" s="670"/>
      <c r="W744" s="670"/>
    </row>
    <row r="745" spans="1:23" ht="12.75" customHeight="1" x14ac:dyDescent="0.25">
      <c r="A745" s="670"/>
      <c r="B745" s="670"/>
      <c r="C745" s="670"/>
      <c r="D745" s="670"/>
      <c r="E745" s="670"/>
      <c r="F745" s="670"/>
      <c r="G745" s="670"/>
      <c r="H745" s="670"/>
      <c r="I745" s="670"/>
      <c r="J745" s="670"/>
      <c r="K745" s="670"/>
      <c r="L745" s="670"/>
      <c r="M745" s="670"/>
      <c r="N745" s="670"/>
      <c r="O745" s="670"/>
      <c r="P745" s="670"/>
      <c r="Q745" s="670"/>
      <c r="R745" s="670"/>
      <c r="S745" s="670"/>
      <c r="T745" s="670"/>
      <c r="U745" s="670"/>
      <c r="V745" s="670"/>
      <c r="W745" s="670"/>
    </row>
    <row r="746" spans="1:23" ht="12.75" customHeight="1" x14ac:dyDescent="0.25">
      <c r="A746" s="670"/>
      <c r="B746" s="670"/>
      <c r="C746" s="670"/>
      <c r="D746" s="670"/>
      <c r="E746" s="670"/>
      <c r="F746" s="670"/>
      <c r="G746" s="670"/>
      <c r="H746" s="670"/>
      <c r="I746" s="670"/>
      <c r="J746" s="670"/>
      <c r="K746" s="670"/>
      <c r="L746" s="670"/>
      <c r="M746" s="670"/>
      <c r="N746" s="670"/>
      <c r="O746" s="670"/>
      <c r="P746" s="670"/>
      <c r="Q746" s="670"/>
      <c r="R746" s="670"/>
      <c r="S746" s="670"/>
      <c r="T746" s="670"/>
      <c r="U746" s="670"/>
      <c r="V746" s="670"/>
      <c r="W746" s="670"/>
    </row>
    <row r="747" spans="1:23" ht="12.75" customHeight="1" x14ac:dyDescent="0.25">
      <c r="A747" s="670"/>
      <c r="B747" s="670"/>
      <c r="C747" s="670"/>
      <c r="D747" s="670"/>
      <c r="E747" s="670"/>
      <c r="F747" s="670"/>
      <c r="G747" s="670"/>
      <c r="H747" s="670"/>
      <c r="I747" s="670"/>
      <c r="J747" s="670"/>
      <c r="K747" s="670"/>
      <c r="L747" s="670"/>
      <c r="M747" s="670"/>
      <c r="N747" s="670"/>
      <c r="O747" s="670"/>
      <c r="P747" s="670"/>
      <c r="Q747" s="670"/>
      <c r="R747" s="670"/>
      <c r="S747" s="670"/>
      <c r="T747" s="670"/>
      <c r="U747" s="670"/>
      <c r="V747" s="670"/>
      <c r="W747" s="670"/>
    </row>
    <row r="748" spans="1:23" ht="12.75" customHeight="1" x14ac:dyDescent="0.25">
      <c r="A748" s="670"/>
      <c r="B748" s="670"/>
      <c r="C748" s="670"/>
      <c r="D748" s="670"/>
      <c r="E748" s="670"/>
      <c r="F748" s="670"/>
      <c r="G748" s="670"/>
      <c r="H748" s="670"/>
      <c r="I748" s="670"/>
      <c r="J748" s="670"/>
      <c r="K748" s="670"/>
      <c r="L748" s="670"/>
      <c r="M748" s="670"/>
      <c r="N748" s="670"/>
      <c r="O748" s="670"/>
      <c r="P748" s="670"/>
      <c r="Q748" s="670"/>
      <c r="R748" s="670"/>
      <c r="S748" s="670"/>
      <c r="T748" s="670"/>
      <c r="U748" s="670"/>
      <c r="V748" s="670"/>
      <c r="W748" s="670"/>
    </row>
    <row r="749" spans="1:23" ht="12.75" customHeight="1" x14ac:dyDescent="0.25">
      <c r="A749" s="670"/>
      <c r="B749" s="670"/>
      <c r="C749" s="670"/>
      <c r="D749" s="670"/>
      <c r="E749" s="670"/>
      <c r="F749" s="670"/>
      <c r="G749" s="670"/>
      <c r="H749" s="670"/>
      <c r="I749" s="670"/>
      <c r="J749" s="670"/>
      <c r="K749" s="670"/>
      <c r="L749" s="670"/>
      <c r="M749" s="670"/>
      <c r="N749" s="670"/>
      <c r="O749" s="670"/>
      <c r="P749" s="670"/>
      <c r="Q749" s="670"/>
      <c r="R749" s="670"/>
      <c r="S749" s="670"/>
      <c r="T749" s="670"/>
      <c r="U749" s="670"/>
      <c r="V749" s="670"/>
      <c r="W749" s="670"/>
    </row>
    <row r="750" spans="1:23" ht="12.75" customHeight="1" x14ac:dyDescent="0.25">
      <c r="A750" s="670"/>
      <c r="B750" s="670"/>
      <c r="C750" s="670"/>
      <c r="D750" s="670"/>
      <c r="E750" s="670"/>
      <c r="F750" s="670"/>
      <c r="G750" s="670"/>
      <c r="H750" s="670"/>
      <c r="I750" s="670"/>
      <c r="J750" s="670"/>
      <c r="K750" s="670"/>
      <c r="L750" s="670"/>
      <c r="M750" s="670"/>
      <c r="N750" s="670"/>
      <c r="O750" s="670"/>
      <c r="P750" s="670"/>
      <c r="Q750" s="670"/>
      <c r="R750" s="670"/>
      <c r="S750" s="670"/>
      <c r="T750" s="670"/>
      <c r="U750" s="670"/>
      <c r="V750" s="670"/>
      <c r="W750" s="670"/>
    </row>
    <row r="751" spans="1:23" ht="12.75" customHeight="1" x14ac:dyDescent="0.25">
      <c r="A751" s="670"/>
      <c r="B751" s="670"/>
      <c r="C751" s="670"/>
      <c r="D751" s="670"/>
      <c r="E751" s="670"/>
      <c r="F751" s="670"/>
      <c r="G751" s="670"/>
      <c r="H751" s="670"/>
      <c r="I751" s="670"/>
      <c r="J751" s="670"/>
      <c r="K751" s="670"/>
      <c r="L751" s="670"/>
      <c r="M751" s="670"/>
      <c r="N751" s="670"/>
      <c r="O751" s="670"/>
      <c r="P751" s="670"/>
      <c r="Q751" s="670"/>
      <c r="R751" s="670"/>
      <c r="S751" s="670"/>
      <c r="T751" s="670"/>
      <c r="U751" s="670"/>
      <c r="V751" s="670"/>
      <c r="W751" s="670"/>
    </row>
    <row r="752" spans="1:23" ht="12.75" customHeight="1" x14ac:dyDescent="0.25">
      <c r="A752" s="670"/>
      <c r="B752" s="670"/>
      <c r="C752" s="670"/>
      <c r="D752" s="670"/>
      <c r="E752" s="670"/>
      <c r="F752" s="670"/>
      <c r="G752" s="670"/>
      <c r="H752" s="670"/>
      <c r="I752" s="670"/>
      <c r="J752" s="670"/>
      <c r="K752" s="670"/>
      <c r="L752" s="670"/>
      <c r="M752" s="670"/>
      <c r="N752" s="670"/>
      <c r="O752" s="670"/>
      <c r="P752" s="670"/>
      <c r="Q752" s="670"/>
      <c r="R752" s="670"/>
      <c r="S752" s="670"/>
      <c r="T752" s="670"/>
      <c r="U752" s="670"/>
      <c r="V752" s="670"/>
      <c r="W752" s="670"/>
    </row>
    <row r="753" spans="1:23" ht="12.75" customHeight="1" x14ac:dyDescent="0.25">
      <c r="A753" s="670"/>
      <c r="B753" s="670"/>
      <c r="C753" s="670"/>
      <c r="D753" s="670"/>
      <c r="E753" s="670"/>
      <c r="F753" s="670"/>
      <c r="G753" s="670"/>
      <c r="H753" s="670"/>
      <c r="I753" s="670"/>
      <c r="J753" s="670"/>
      <c r="K753" s="670"/>
      <c r="L753" s="670"/>
      <c r="M753" s="670"/>
      <c r="N753" s="670"/>
      <c r="O753" s="670"/>
      <c r="P753" s="670"/>
      <c r="Q753" s="670"/>
      <c r="R753" s="670"/>
      <c r="S753" s="670"/>
      <c r="T753" s="670"/>
      <c r="U753" s="670"/>
      <c r="V753" s="670"/>
      <c r="W753" s="670"/>
    </row>
    <row r="754" spans="1:23" ht="12.75" customHeight="1" x14ac:dyDescent="0.25">
      <c r="A754" s="670"/>
      <c r="B754" s="670"/>
      <c r="C754" s="670"/>
      <c r="D754" s="670"/>
      <c r="E754" s="670"/>
      <c r="F754" s="670"/>
      <c r="G754" s="670"/>
      <c r="H754" s="670"/>
      <c r="I754" s="670"/>
      <c r="J754" s="670"/>
      <c r="K754" s="670"/>
      <c r="L754" s="670"/>
      <c r="M754" s="670"/>
      <c r="N754" s="670"/>
      <c r="O754" s="670"/>
      <c r="P754" s="670"/>
      <c r="Q754" s="670"/>
      <c r="R754" s="670"/>
      <c r="S754" s="670"/>
      <c r="T754" s="670"/>
      <c r="U754" s="670"/>
      <c r="V754" s="670"/>
      <c r="W754" s="670"/>
    </row>
    <row r="755" spans="1:23" ht="12.75" customHeight="1" x14ac:dyDescent="0.25">
      <c r="A755" s="670"/>
      <c r="B755" s="670"/>
      <c r="C755" s="670"/>
      <c r="D755" s="670"/>
      <c r="E755" s="670"/>
      <c r="F755" s="670"/>
      <c r="G755" s="670"/>
      <c r="H755" s="670"/>
      <c r="I755" s="670"/>
      <c r="J755" s="670"/>
      <c r="K755" s="670"/>
      <c r="L755" s="670"/>
      <c r="M755" s="670"/>
      <c r="N755" s="670"/>
      <c r="O755" s="670"/>
      <c r="P755" s="670"/>
      <c r="Q755" s="670"/>
      <c r="R755" s="670"/>
      <c r="S755" s="670"/>
      <c r="T755" s="670"/>
      <c r="U755" s="670"/>
      <c r="V755" s="670"/>
      <c r="W755" s="670"/>
    </row>
    <row r="756" spans="1:23" ht="12.75" customHeight="1" x14ac:dyDescent="0.25">
      <c r="A756" s="670"/>
      <c r="B756" s="670"/>
      <c r="C756" s="670"/>
      <c r="D756" s="670"/>
      <c r="E756" s="670"/>
      <c r="F756" s="670"/>
      <c r="G756" s="670"/>
      <c r="H756" s="670"/>
      <c r="I756" s="670"/>
      <c r="J756" s="670"/>
      <c r="K756" s="670"/>
      <c r="L756" s="670"/>
      <c r="M756" s="670"/>
      <c r="N756" s="670"/>
      <c r="O756" s="670"/>
      <c r="P756" s="670"/>
      <c r="Q756" s="670"/>
      <c r="R756" s="670"/>
      <c r="S756" s="670"/>
      <c r="T756" s="670"/>
      <c r="U756" s="670"/>
      <c r="V756" s="670"/>
      <c r="W756" s="670"/>
    </row>
    <row r="757" spans="1:23" ht="12.75" customHeight="1" x14ac:dyDescent="0.25">
      <c r="A757" s="670"/>
      <c r="B757" s="670"/>
      <c r="C757" s="670"/>
      <c r="D757" s="670"/>
      <c r="E757" s="670"/>
      <c r="F757" s="670"/>
      <c r="G757" s="670"/>
      <c r="H757" s="670"/>
      <c r="I757" s="670"/>
      <c r="J757" s="670"/>
      <c r="K757" s="670"/>
      <c r="L757" s="670"/>
      <c r="M757" s="670"/>
      <c r="N757" s="670"/>
      <c r="O757" s="670"/>
      <c r="P757" s="670"/>
      <c r="Q757" s="670"/>
      <c r="R757" s="670"/>
      <c r="S757" s="670"/>
      <c r="T757" s="670"/>
      <c r="U757" s="670"/>
      <c r="V757" s="670"/>
      <c r="W757" s="670"/>
    </row>
    <row r="758" spans="1:23" ht="12.75" customHeight="1" x14ac:dyDescent="0.25">
      <c r="A758" s="670"/>
      <c r="B758" s="670"/>
      <c r="C758" s="670"/>
      <c r="D758" s="670"/>
      <c r="E758" s="670"/>
      <c r="F758" s="670"/>
      <c r="G758" s="670"/>
      <c r="H758" s="670"/>
      <c r="I758" s="670"/>
      <c r="J758" s="670"/>
      <c r="K758" s="670"/>
      <c r="L758" s="670"/>
      <c r="M758" s="670"/>
      <c r="N758" s="670"/>
      <c r="O758" s="670"/>
      <c r="P758" s="670"/>
      <c r="Q758" s="670"/>
      <c r="R758" s="670"/>
      <c r="S758" s="670"/>
      <c r="T758" s="670"/>
      <c r="U758" s="670"/>
      <c r="V758" s="670"/>
      <c r="W758" s="670"/>
    </row>
    <row r="759" spans="1:23" ht="12.75" customHeight="1" x14ac:dyDescent="0.25">
      <c r="A759" s="670"/>
      <c r="B759" s="670"/>
      <c r="C759" s="670"/>
      <c r="D759" s="670"/>
      <c r="E759" s="670"/>
      <c r="F759" s="670"/>
      <c r="G759" s="670"/>
      <c r="H759" s="670"/>
      <c r="I759" s="670"/>
      <c r="J759" s="670"/>
      <c r="K759" s="670"/>
      <c r="L759" s="670"/>
      <c r="M759" s="670"/>
      <c r="N759" s="670"/>
      <c r="O759" s="670"/>
      <c r="P759" s="670"/>
      <c r="Q759" s="670"/>
      <c r="R759" s="670"/>
      <c r="S759" s="670"/>
      <c r="T759" s="670"/>
      <c r="U759" s="670"/>
      <c r="V759" s="670"/>
      <c r="W759" s="670"/>
    </row>
    <row r="760" spans="1:23" ht="12.75" customHeight="1" x14ac:dyDescent="0.25">
      <c r="A760" s="670"/>
      <c r="B760" s="670"/>
      <c r="C760" s="670"/>
      <c r="D760" s="670"/>
      <c r="E760" s="670"/>
      <c r="F760" s="670"/>
      <c r="G760" s="670"/>
      <c r="H760" s="670"/>
      <c r="I760" s="670"/>
      <c r="J760" s="670"/>
      <c r="K760" s="670"/>
      <c r="L760" s="670"/>
      <c r="M760" s="670"/>
      <c r="N760" s="670"/>
      <c r="O760" s="670"/>
      <c r="P760" s="670"/>
      <c r="Q760" s="670"/>
      <c r="R760" s="670"/>
      <c r="S760" s="670"/>
      <c r="T760" s="670"/>
      <c r="U760" s="670"/>
      <c r="V760" s="670"/>
      <c r="W760" s="670"/>
    </row>
    <row r="761" spans="1:23" ht="12.75" customHeight="1" x14ac:dyDescent="0.25">
      <c r="A761" s="670"/>
      <c r="B761" s="670"/>
      <c r="C761" s="670"/>
      <c r="D761" s="670"/>
      <c r="E761" s="670"/>
      <c r="F761" s="670"/>
      <c r="G761" s="670"/>
      <c r="H761" s="670"/>
      <c r="I761" s="670"/>
      <c r="J761" s="670"/>
      <c r="K761" s="670"/>
      <c r="L761" s="670"/>
      <c r="M761" s="670"/>
      <c r="N761" s="670"/>
      <c r="O761" s="670"/>
      <c r="P761" s="670"/>
      <c r="Q761" s="670"/>
      <c r="R761" s="670"/>
      <c r="S761" s="670"/>
      <c r="T761" s="670"/>
      <c r="U761" s="670"/>
      <c r="V761" s="670"/>
      <c r="W761" s="670"/>
    </row>
    <row r="762" spans="1:23" ht="12.75" customHeight="1" x14ac:dyDescent="0.25">
      <c r="A762" s="670"/>
      <c r="B762" s="670"/>
      <c r="C762" s="670"/>
      <c r="D762" s="670"/>
      <c r="E762" s="670"/>
      <c r="F762" s="670"/>
      <c r="G762" s="670"/>
      <c r="H762" s="670"/>
      <c r="I762" s="670"/>
      <c r="J762" s="670"/>
      <c r="K762" s="670"/>
      <c r="L762" s="670"/>
      <c r="M762" s="670"/>
      <c r="N762" s="670"/>
      <c r="O762" s="670"/>
      <c r="P762" s="670"/>
      <c r="Q762" s="670"/>
      <c r="R762" s="670"/>
      <c r="S762" s="670"/>
      <c r="T762" s="670"/>
      <c r="U762" s="670"/>
      <c r="V762" s="670"/>
      <c r="W762" s="670"/>
    </row>
    <row r="763" spans="1:23" ht="12.75" customHeight="1" x14ac:dyDescent="0.25">
      <c r="A763" s="670"/>
      <c r="B763" s="670"/>
      <c r="C763" s="670"/>
      <c r="D763" s="670"/>
      <c r="E763" s="670"/>
      <c r="F763" s="670"/>
      <c r="G763" s="670"/>
      <c r="H763" s="670"/>
      <c r="I763" s="670"/>
      <c r="J763" s="670"/>
      <c r="K763" s="670"/>
      <c r="L763" s="670"/>
      <c r="M763" s="670"/>
      <c r="N763" s="670"/>
      <c r="O763" s="670"/>
      <c r="P763" s="670"/>
      <c r="Q763" s="670"/>
      <c r="R763" s="670"/>
      <c r="S763" s="670"/>
      <c r="T763" s="670"/>
      <c r="U763" s="670"/>
      <c r="V763" s="670"/>
      <c r="W763" s="670"/>
    </row>
    <row r="764" spans="1:23" ht="12.75" customHeight="1" x14ac:dyDescent="0.25">
      <c r="A764" s="670"/>
      <c r="B764" s="670"/>
      <c r="C764" s="670"/>
      <c r="D764" s="670"/>
      <c r="E764" s="670"/>
      <c r="F764" s="670"/>
      <c r="G764" s="670"/>
      <c r="H764" s="670"/>
      <c r="I764" s="670"/>
      <c r="J764" s="670"/>
      <c r="K764" s="670"/>
      <c r="L764" s="670"/>
      <c r="M764" s="670"/>
      <c r="N764" s="670"/>
      <c r="O764" s="670"/>
      <c r="P764" s="670"/>
      <c r="Q764" s="670"/>
      <c r="R764" s="670"/>
      <c r="S764" s="670"/>
      <c r="T764" s="670"/>
      <c r="U764" s="670"/>
      <c r="V764" s="670"/>
      <c r="W764" s="670"/>
    </row>
    <row r="765" spans="1:23" ht="12.75" customHeight="1" x14ac:dyDescent="0.25">
      <c r="A765" s="670"/>
      <c r="B765" s="670"/>
      <c r="C765" s="670"/>
      <c r="D765" s="670"/>
      <c r="E765" s="670"/>
      <c r="F765" s="670"/>
      <c r="G765" s="670"/>
      <c r="H765" s="670"/>
      <c r="I765" s="670"/>
      <c r="J765" s="670"/>
      <c r="K765" s="670"/>
      <c r="L765" s="670"/>
      <c r="M765" s="670"/>
      <c r="N765" s="670"/>
      <c r="O765" s="670"/>
      <c r="P765" s="670"/>
      <c r="Q765" s="670"/>
      <c r="R765" s="670"/>
      <c r="S765" s="670"/>
      <c r="T765" s="670"/>
      <c r="U765" s="670"/>
      <c r="V765" s="670"/>
      <c r="W765" s="670"/>
    </row>
    <row r="766" spans="1:23" ht="12.75" customHeight="1" x14ac:dyDescent="0.25">
      <c r="A766" s="670"/>
      <c r="B766" s="670"/>
      <c r="C766" s="670"/>
      <c r="D766" s="670"/>
      <c r="E766" s="670"/>
      <c r="F766" s="670"/>
      <c r="G766" s="670"/>
      <c r="H766" s="670"/>
      <c r="I766" s="670"/>
      <c r="J766" s="670"/>
      <c r="K766" s="670"/>
      <c r="L766" s="670"/>
      <c r="M766" s="670"/>
      <c r="N766" s="670"/>
      <c r="O766" s="670"/>
      <c r="P766" s="670"/>
      <c r="Q766" s="670"/>
      <c r="R766" s="670"/>
      <c r="S766" s="670"/>
      <c r="T766" s="670"/>
      <c r="U766" s="670"/>
      <c r="V766" s="670"/>
      <c r="W766" s="670"/>
    </row>
    <row r="767" spans="1:23" ht="12.75" customHeight="1" x14ac:dyDescent="0.25">
      <c r="A767" s="670"/>
      <c r="B767" s="670"/>
      <c r="C767" s="670"/>
      <c r="D767" s="670"/>
      <c r="E767" s="670"/>
      <c r="F767" s="670"/>
      <c r="G767" s="670"/>
      <c r="H767" s="670"/>
      <c r="I767" s="670"/>
      <c r="J767" s="670"/>
      <c r="K767" s="670"/>
      <c r="L767" s="670"/>
      <c r="M767" s="670"/>
      <c r="N767" s="670"/>
      <c r="O767" s="670"/>
      <c r="P767" s="670"/>
      <c r="Q767" s="670"/>
      <c r="R767" s="670"/>
      <c r="S767" s="670"/>
      <c r="T767" s="670"/>
      <c r="U767" s="670"/>
      <c r="V767" s="670"/>
      <c r="W767" s="670"/>
    </row>
    <row r="768" spans="1:23" ht="12.75" customHeight="1" x14ac:dyDescent="0.25">
      <c r="A768" s="670"/>
      <c r="B768" s="670"/>
      <c r="C768" s="670"/>
      <c r="D768" s="670"/>
      <c r="E768" s="670"/>
      <c r="F768" s="670"/>
      <c r="G768" s="670"/>
      <c r="H768" s="670"/>
      <c r="I768" s="670"/>
      <c r="J768" s="670"/>
      <c r="K768" s="670"/>
      <c r="L768" s="670"/>
      <c r="M768" s="670"/>
      <c r="N768" s="670"/>
      <c r="O768" s="670"/>
      <c r="P768" s="670"/>
      <c r="Q768" s="670"/>
      <c r="R768" s="670"/>
      <c r="S768" s="670"/>
      <c r="T768" s="670"/>
      <c r="U768" s="670"/>
      <c r="V768" s="670"/>
      <c r="W768" s="670"/>
    </row>
    <row r="769" spans="1:23" ht="12.75" customHeight="1" x14ac:dyDescent="0.25">
      <c r="A769" s="670"/>
      <c r="B769" s="670"/>
      <c r="C769" s="670"/>
      <c r="D769" s="670"/>
      <c r="E769" s="670"/>
      <c r="F769" s="670"/>
      <c r="G769" s="670"/>
      <c r="H769" s="670"/>
      <c r="I769" s="670"/>
      <c r="J769" s="670"/>
      <c r="K769" s="670"/>
      <c r="L769" s="670"/>
      <c r="M769" s="670"/>
      <c r="N769" s="670"/>
      <c r="O769" s="670"/>
      <c r="P769" s="670"/>
      <c r="Q769" s="670"/>
      <c r="R769" s="670"/>
      <c r="S769" s="670"/>
      <c r="T769" s="670"/>
      <c r="U769" s="670"/>
      <c r="V769" s="670"/>
      <c r="W769" s="670"/>
    </row>
    <row r="770" spans="1:23" ht="12.75" customHeight="1" x14ac:dyDescent="0.25">
      <c r="A770" s="670"/>
      <c r="B770" s="670"/>
      <c r="C770" s="670"/>
      <c r="D770" s="670"/>
      <c r="E770" s="670"/>
      <c r="F770" s="670"/>
      <c r="G770" s="670"/>
      <c r="H770" s="670"/>
      <c r="I770" s="670"/>
      <c r="J770" s="670"/>
      <c r="K770" s="670"/>
      <c r="L770" s="670"/>
      <c r="M770" s="670"/>
      <c r="N770" s="670"/>
      <c r="O770" s="670"/>
      <c r="P770" s="670"/>
      <c r="Q770" s="670"/>
      <c r="R770" s="670"/>
      <c r="S770" s="670"/>
      <c r="T770" s="670"/>
      <c r="U770" s="670"/>
      <c r="V770" s="670"/>
      <c r="W770" s="670"/>
    </row>
    <row r="771" spans="1:23" ht="12.75" customHeight="1" x14ac:dyDescent="0.25">
      <c r="A771" s="670"/>
      <c r="B771" s="670"/>
      <c r="C771" s="670"/>
      <c r="D771" s="670"/>
      <c r="E771" s="670"/>
      <c r="F771" s="670"/>
      <c r="G771" s="670"/>
      <c r="H771" s="670"/>
      <c r="I771" s="670"/>
      <c r="J771" s="670"/>
      <c r="K771" s="670"/>
      <c r="L771" s="670"/>
      <c r="M771" s="670"/>
      <c r="N771" s="670"/>
      <c r="O771" s="670"/>
      <c r="P771" s="670"/>
      <c r="Q771" s="670"/>
      <c r="R771" s="670"/>
      <c r="S771" s="670"/>
      <c r="T771" s="670"/>
      <c r="U771" s="670"/>
      <c r="V771" s="670"/>
      <c r="W771" s="670"/>
    </row>
    <row r="772" spans="1:23" ht="12.75" customHeight="1" x14ac:dyDescent="0.25">
      <c r="A772" s="670"/>
      <c r="B772" s="670"/>
      <c r="C772" s="670"/>
      <c r="D772" s="670"/>
      <c r="E772" s="670"/>
      <c r="F772" s="670"/>
      <c r="G772" s="670"/>
      <c r="H772" s="670"/>
      <c r="I772" s="670"/>
      <c r="J772" s="670"/>
      <c r="K772" s="670"/>
      <c r="L772" s="670"/>
      <c r="M772" s="670"/>
      <c r="N772" s="670"/>
      <c r="O772" s="670"/>
      <c r="P772" s="670"/>
      <c r="Q772" s="670"/>
      <c r="R772" s="670"/>
      <c r="S772" s="670"/>
      <c r="T772" s="670"/>
      <c r="U772" s="670"/>
      <c r="V772" s="670"/>
      <c r="W772" s="670"/>
    </row>
    <row r="773" spans="1:23" ht="12.75" customHeight="1" x14ac:dyDescent="0.25">
      <c r="A773" s="670"/>
      <c r="B773" s="670"/>
      <c r="C773" s="670"/>
      <c r="D773" s="670"/>
      <c r="E773" s="670"/>
      <c r="F773" s="670"/>
      <c r="G773" s="670"/>
      <c r="H773" s="670"/>
      <c r="I773" s="670"/>
      <c r="J773" s="670"/>
      <c r="K773" s="670"/>
      <c r="L773" s="670"/>
      <c r="M773" s="670"/>
      <c r="N773" s="670"/>
      <c r="O773" s="670"/>
      <c r="P773" s="670"/>
      <c r="Q773" s="670"/>
      <c r="R773" s="670"/>
      <c r="S773" s="670"/>
      <c r="T773" s="670"/>
      <c r="U773" s="670"/>
      <c r="V773" s="670"/>
      <c r="W773" s="670"/>
    </row>
    <row r="774" spans="1:23" ht="12.75" customHeight="1" x14ac:dyDescent="0.25">
      <c r="A774" s="670"/>
      <c r="B774" s="670"/>
      <c r="C774" s="670"/>
      <c r="D774" s="670"/>
      <c r="E774" s="670"/>
      <c r="F774" s="670"/>
      <c r="G774" s="670"/>
      <c r="H774" s="670"/>
      <c r="I774" s="670"/>
      <c r="J774" s="670"/>
      <c r="K774" s="670"/>
      <c r="L774" s="670"/>
      <c r="M774" s="670"/>
      <c r="N774" s="670"/>
      <c r="O774" s="670"/>
      <c r="P774" s="670"/>
      <c r="Q774" s="670"/>
      <c r="R774" s="670"/>
      <c r="S774" s="670"/>
      <c r="T774" s="670"/>
      <c r="U774" s="670"/>
      <c r="V774" s="670"/>
      <c r="W774" s="670"/>
    </row>
    <row r="775" spans="1:23" ht="12.75" customHeight="1" x14ac:dyDescent="0.25">
      <c r="A775" s="670"/>
      <c r="B775" s="670"/>
      <c r="C775" s="670"/>
      <c r="D775" s="670"/>
      <c r="E775" s="670"/>
      <c r="F775" s="670"/>
      <c r="G775" s="670"/>
      <c r="H775" s="670"/>
      <c r="I775" s="670"/>
      <c r="J775" s="670"/>
      <c r="K775" s="670"/>
      <c r="L775" s="670"/>
      <c r="M775" s="670"/>
      <c r="N775" s="670"/>
      <c r="O775" s="670"/>
      <c r="P775" s="670"/>
      <c r="Q775" s="670"/>
      <c r="R775" s="670"/>
      <c r="S775" s="670"/>
      <c r="T775" s="670"/>
      <c r="U775" s="670"/>
      <c r="V775" s="670"/>
      <c r="W775" s="670"/>
    </row>
    <row r="776" spans="1:23" ht="12.75" customHeight="1" x14ac:dyDescent="0.25">
      <c r="A776" s="670"/>
      <c r="B776" s="670"/>
      <c r="C776" s="670"/>
      <c r="D776" s="670"/>
      <c r="E776" s="670"/>
      <c r="F776" s="670"/>
      <c r="G776" s="670"/>
      <c r="H776" s="670"/>
      <c r="I776" s="670"/>
      <c r="J776" s="670"/>
      <c r="K776" s="670"/>
      <c r="L776" s="670"/>
      <c r="M776" s="670"/>
      <c r="N776" s="670"/>
      <c r="O776" s="670"/>
      <c r="P776" s="670"/>
      <c r="Q776" s="670"/>
      <c r="R776" s="670"/>
      <c r="S776" s="670"/>
      <c r="T776" s="670"/>
      <c r="U776" s="670"/>
      <c r="V776" s="670"/>
      <c r="W776" s="670"/>
    </row>
    <row r="777" spans="1:23" ht="12.75" customHeight="1" x14ac:dyDescent="0.25">
      <c r="A777" s="670"/>
      <c r="B777" s="670"/>
      <c r="C777" s="670"/>
      <c r="D777" s="670"/>
      <c r="E777" s="670"/>
      <c r="F777" s="670"/>
      <c r="G777" s="670"/>
      <c r="H777" s="670"/>
      <c r="I777" s="670"/>
      <c r="J777" s="670"/>
      <c r="K777" s="670"/>
      <c r="L777" s="670"/>
      <c r="M777" s="670"/>
      <c r="N777" s="670"/>
      <c r="O777" s="670"/>
      <c r="P777" s="670"/>
      <c r="Q777" s="670"/>
      <c r="R777" s="670"/>
      <c r="S777" s="670"/>
      <c r="T777" s="670"/>
      <c r="U777" s="670"/>
      <c r="V777" s="670"/>
      <c r="W777" s="670"/>
    </row>
    <row r="778" spans="1:23" ht="12.75" customHeight="1" x14ac:dyDescent="0.25">
      <c r="A778" s="670"/>
      <c r="B778" s="670"/>
      <c r="C778" s="670"/>
      <c r="D778" s="670"/>
      <c r="E778" s="670"/>
      <c r="F778" s="670"/>
      <c r="G778" s="670"/>
      <c r="H778" s="670"/>
      <c r="I778" s="670"/>
      <c r="J778" s="670"/>
      <c r="K778" s="670"/>
      <c r="L778" s="670"/>
      <c r="M778" s="670"/>
      <c r="N778" s="670"/>
      <c r="O778" s="670"/>
      <c r="P778" s="670"/>
      <c r="Q778" s="670"/>
      <c r="R778" s="670"/>
      <c r="S778" s="670"/>
      <c r="T778" s="670"/>
      <c r="U778" s="670"/>
      <c r="V778" s="670"/>
      <c r="W778" s="670"/>
    </row>
    <row r="779" spans="1:23" ht="12.75" customHeight="1" x14ac:dyDescent="0.25">
      <c r="A779" s="670"/>
      <c r="B779" s="670"/>
      <c r="C779" s="670"/>
      <c r="D779" s="670"/>
      <c r="E779" s="670"/>
      <c r="F779" s="670"/>
      <c r="G779" s="670"/>
      <c r="H779" s="670"/>
      <c r="I779" s="670"/>
      <c r="J779" s="670"/>
      <c r="K779" s="670"/>
      <c r="L779" s="670"/>
      <c r="M779" s="670"/>
      <c r="N779" s="670"/>
      <c r="O779" s="670"/>
      <c r="P779" s="670"/>
      <c r="Q779" s="670"/>
      <c r="R779" s="670"/>
      <c r="S779" s="670"/>
      <c r="T779" s="670"/>
      <c r="U779" s="670"/>
      <c r="V779" s="670"/>
      <c r="W779" s="670"/>
    </row>
    <row r="780" spans="1:23" ht="12.75" customHeight="1" x14ac:dyDescent="0.25">
      <c r="A780" s="670"/>
      <c r="B780" s="670"/>
      <c r="C780" s="670"/>
      <c r="D780" s="670"/>
      <c r="E780" s="670"/>
      <c r="F780" s="670"/>
      <c r="G780" s="670"/>
      <c r="H780" s="670"/>
      <c r="I780" s="670"/>
      <c r="J780" s="670"/>
      <c r="K780" s="670"/>
      <c r="L780" s="670"/>
      <c r="M780" s="670"/>
      <c r="N780" s="670"/>
      <c r="O780" s="670"/>
      <c r="P780" s="670"/>
      <c r="Q780" s="670"/>
      <c r="R780" s="670"/>
      <c r="S780" s="670"/>
      <c r="T780" s="670"/>
      <c r="U780" s="670"/>
      <c r="V780" s="670"/>
      <c r="W780" s="670"/>
    </row>
    <row r="781" spans="1:23" ht="12.75" customHeight="1" x14ac:dyDescent="0.25">
      <c r="A781" s="670"/>
      <c r="B781" s="670"/>
      <c r="C781" s="670"/>
      <c r="D781" s="670"/>
      <c r="E781" s="670"/>
      <c r="F781" s="670"/>
      <c r="G781" s="670"/>
      <c r="H781" s="670"/>
      <c r="I781" s="670"/>
      <c r="J781" s="670"/>
      <c r="K781" s="670"/>
      <c r="L781" s="670"/>
      <c r="M781" s="670"/>
      <c r="N781" s="670"/>
      <c r="O781" s="670"/>
      <c r="P781" s="670"/>
      <c r="Q781" s="670"/>
      <c r="R781" s="670"/>
      <c r="S781" s="670"/>
      <c r="T781" s="670"/>
      <c r="U781" s="670"/>
      <c r="V781" s="670"/>
      <c r="W781" s="670"/>
    </row>
    <row r="782" spans="1:23" ht="12.75" customHeight="1" x14ac:dyDescent="0.25">
      <c r="A782" s="670"/>
      <c r="B782" s="670"/>
      <c r="C782" s="670"/>
      <c r="D782" s="670"/>
      <c r="E782" s="670"/>
      <c r="F782" s="670"/>
      <c r="G782" s="670"/>
      <c r="H782" s="670"/>
      <c r="I782" s="670"/>
      <c r="J782" s="670"/>
      <c r="K782" s="670"/>
      <c r="L782" s="670"/>
      <c r="M782" s="670"/>
      <c r="N782" s="670"/>
      <c r="O782" s="670"/>
      <c r="P782" s="670"/>
      <c r="Q782" s="670"/>
      <c r="R782" s="670"/>
      <c r="S782" s="670"/>
      <c r="T782" s="670"/>
      <c r="U782" s="670"/>
      <c r="V782" s="670"/>
      <c r="W782" s="670"/>
    </row>
    <row r="783" spans="1:23" ht="12.75" customHeight="1" x14ac:dyDescent="0.25">
      <c r="A783" s="670"/>
      <c r="B783" s="670"/>
      <c r="C783" s="670"/>
      <c r="D783" s="670"/>
      <c r="E783" s="670"/>
      <c r="F783" s="670"/>
      <c r="G783" s="670"/>
      <c r="H783" s="670"/>
      <c r="I783" s="670"/>
      <c r="J783" s="670"/>
      <c r="K783" s="670"/>
      <c r="L783" s="670"/>
      <c r="M783" s="670"/>
      <c r="N783" s="670"/>
      <c r="O783" s="670"/>
      <c r="P783" s="670"/>
      <c r="Q783" s="670"/>
      <c r="R783" s="670"/>
      <c r="S783" s="670"/>
      <c r="T783" s="670"/>
      <c r="U783" s="670"/>
      <c r="V783" s="670"/>
      <c r="W783" s="670"/>
    </row>
    <row r="784" spans="1:23" ht="12.75" customHeight="1" x14ac:dyDescent="0.25">
      <c r="A784" s="670"/>
      <c r="B784" s="670"/>
      <c r="C784" s="670"/>
      <c r="D784" s="670"/>
      <c r="E784" s="670"/>
      <c r="F784" s="670"/>
      <c r="G784" s="670"/>
      <c r="H784" s="670"/>
      <c r="I784" s="670"/>
      <c r="J784" s="670"/>
      <c r="K784" s="670"/>
      <c r="L784" s="670"/>
      <c r="M784" s="670"/>
      <c r="N784" s="670"/>
      <c r="O784" s="670"/>
      <c r="P784" s="670"/>
      <c r="Q784" s="670"/>
      <c r="R784" s="670"/>
      <c r="S784" s="670"/>
      <c r="T784" s="670"/>
      <c r="U784" s="670"/>
      <c r="V784" s="670"/>
      <c r="W784" s="670"/>
    </row>
    <row r="785" spans="1:23" ht="12.75" customHeight="1" x14ac:dyDescent="0.25">
      <c r="A785" s="670"/>
      <c r="B785" s="670"/>
      <c r="C785" s="670"/>
      <c r="D785" s="670"/>
      <c r="E785" s="670"/>
      <c r="F785" s="670"/>
      <c r="G785" s="670"/>
      <c r="H785" s="670"/>
      <c r="I785" s="670"/>
      <c r="J785" s="670"/>
      <c r="K785" s="670"/>
      <c r="L785" s="670"/>
      <c r="M785" s="670"/>
      <c r="N785" s="670"/>
      <c r="O785" s="670"/>
      <c r="P785" s="670"/>
      <c r="Q785" s="670"/>
      <c r="R785" s="670"/>
      <c r="S785" s="670"/>
      <c r="T785" s="670"/>
      <c r="U785" s="670"/>
      <c r="V785" s="670"/>
      <c r="W785" s="670"/>
    </row>
    <row r="786" spans="1:23" ht="12.75" customHeight="1" x14ac:dyDescent="0.25">
      <c r="A786" s="670"/>
      <c r="B786" s="670"/>
      <c r="C786" s="670"/>
      <c r="D786" s="670"/>
      <c r="E786" s="670"/>
      <c r="F786" s="670"/>
      <c r="G786" s="670"/>
      <c r="H786" s="670"/>
      <c r="I786" s="670"/>
      <c r="J786" s="670"/>
      <c r="K786" s="670"/>
      <c r="L786" s="670"/>
      <c r="M786" s="670"/>
      <c r="N786" s="670"/>
      <c r="O786" s="670"/>
      <c r="P786" s="670"/>
      <c r="Q786" s="670"/>
      <c r="R786" s="670"/>
      <c r="S786" s="670"/>
      <c r="T786" s="670"/>
      <c r="U786" s="670"/>
      <c r="V786" s="670"/>
      <c r="W786" s="670"/>
    </row>
    <row r="787" spans="1:23" ht="12.75" customHeight="1" x14ac:dyDescent="0.25">
      <c r="A787" s="670"/>
      <c r="B787" s="670"/>
      <c r="C787" s="670"/>
      <c r="D787" s="670"/>
      <c r="E787" s="670"/>
      <c r="F787" s="670"/>
      <c r="G787" s="670"/>
      <c r="H787" s="670"/>
      <c r="I787" s="670"/>
      <c r="J787" s="670"/>
      <c r="K787" s="670"/>
      <c r="L787" s="670"/>
      <c r="M787" s="670"/>
      <c r="N787" s="670"/>
      <c r="O787" s="670"/>
      <c r="P787" s="670"/>
      <c r="Q787" s="670"/>
      <c r="R787" s="670"/>
      <c r="S787" s="670"/>
      <c r="T787" s="670"/>
      <c r="U787" s="670"/>
      <c r="V787" s="670"/>
      <c r="W787" s="670"/>
    </row>
    <row r="788" spans="1:23" ht="12.75" customHeight="1" x14ac:dyDescent="0.25">
      <c r="A788" s="670"/>
      <c r="B788" s="670"/>
      <c r="C788" s="670"/>
      <c r="D788" s="670"/>
      <c r="E788" s="670"/>
      <c r="F788" s="670"/>
      <c r="G788" s="670"/>
      <c r="H788" s="670"/>
      <c r="I788" s="670"/>
      <c r="J788" s="670"/>
      <c r="K788" s="670"/>
      <c r="L788" s="670"/>
      <c r="M788" s="670"/>
      <c r="N788" s="670"/>
      <c r="O788" s="670"/>
      <c r="P788" s="670"/>
      <c r="Q788" s="670"/>
      <c r="R788" s="670"/>
      <c r="S788" s="670"/>
      <c r="T788" s="670"/>
      <c r="U788" s="670"/>
      <c r="V788" s="670"/>
      <c r="W788" s="670"/>
    </row>
    <row r="789" spans="1:23" ht="12.75" customHeight="1" x14ac:dyDescent="0.25">
      <c r="A789" s="670"/>
      <c r="B789" s="670"/>
      <c r="C789" s="670"/>
      <c r="D789" s="670"/>
      <c r="E789" s="670"/>
      <c r="F789" s="670"/>
      <c r="G789" s="670"/>
      <c r="H789" s="670"/>
      <c r="I789" s="670"/>
      <c r="J789" s="670"/>
      <c r="K789" s="670"/>
      <c r="L789" s="670"/>
      <c r="M789" s="670"/>
      <c r="N789" s="670"/>
      <c r="O789" s="670"/>
      <c r="P789" s="670"/>
      <c r="Q789" s="670"/>
      <c r="R789" s="670"/>
      <c r="S789" s="670"/>
      <c r="T789" s="670"/>
      <c r="U789" s="670"/>
      <c r="V789" s="670"/>
      <c r="W789" s="670"/>
    </row>
    <row r="790" spans="1:23" ht="12.75" customHeight="1" x14ac:dyDescent="0.25">
      <c r="A790" s="670"/>
      <c r="B790" s="670"/>
      <c r="C790" s="670"/>
      <c r="D790" s="670"/>
      <c r="E790" s="670"/>
      <c r="F790" s="670"/>
      <c r="G790" s="670"/>
      <c r="H790" s="670"/>
      <c r="I790" s="670"/>
      <c r="J790" s="670"/>
      <c r="K790" s="670"/>
      <c r="L790" s="670"/>
      <c r="M790" s="670"/>
      <c r="N790" s="670"/>
      <c r="O790" s="670"/>
      <c r="P790" s="670"/>
      <c r="Q790" s="670"/>
      <c r="R790" s="670"/>
      <c r="S790" s="670"/>
      <c r="T790" s="670"/>
      <c r="U790" s="670"/>
      <c r="V790" s="670"/>
      <c r="W790" s="670"/>
    </row>
    <row r="791" spans="1:23" ht="12.75" customHeight="1" x14ac:dyDescent="0.25">
      <c r="A791" s="670"/>
      <c r="B791" s="670"/>
      <c r="C791" s="670"/>
      <c r="D791" s="670"/>
      <c r="E791" s="670"/>
      <c r="F791" s="670"/>
      <c r="G791" s="670"/>
      <c r="H791" s="670"/>
      <c r="I791" s="670"/>
      <c r="J791" s="670"/>
      <c r="K791" s="670"/>
      <c r="L791" s="670"/>
      <c r="M791" s="670"/>
      <c r="N791" s="670"/>
      <c r="O791" s="670"/>
      <c r="P791" s="670"/>
      <c r="Q791" s="670"/>
      <c r="R791" s="670"/>
      <c r="S791" s="670"/>
      <c r="T791" s="670"/>
      <c r="U791" s="670"/>
      <c r="V791" s="670"/>
      <c r="W791" s="670"/>
    </row>
    <row r="792" spans="1:23" ht="12.75" customHeight="1" x14ac:dyDescent="0.25">
      <c r="A792" s="670"/>
      <c r="B792" s="670"/>
      <c r="C792" s="670"/>
      <c r="D792" s="670"/>
      <c r="E792" s="670"/>
      <c r="F792" s="670"/>
      <c r="G792" s="670"/>
      <c r="H792" s="670"/>
      <c r="I792" s="670"/>
      <c r="J792" s="670"/>
      <c r="K792" s="670"/>
      <c r="L792" s="670"/>
      <c r="M792" s="670"/>
      <c r="N792" s="670"/>
      <c r="O792" s="670"/>
      <c r="P792" s="670"/>
      <c r="Q792" s="670"/>
      <c r="R792" s="670"/>
      <c r="S792" s="670"/>
      <c r="T792" s="670"/>
      <c r="U792" s="670"/>
      <c r="V792" s="670"/>
      <c r="W792" s="670"/>
    </row>
    <row r="793" spans="1:23" ht="12.75" customHeight="1" x14ac:dyDescent="0.25">
      <c r="A793" s="670"/>
      <c r="B793" s="670"/>
      <c r="C793" s="670"/>
      <c r="D793" s="670"/>
      <c r="E793" s="670"/>
      <c r="F793" s="670"/>
      <c r="G793" s="670"/>
      <c r="H793" s="670"/>
      <c r="I793" s="670"/>
      <c r="J793" s="670"/>
      <c r="K793" s="670"/>
      <c r="L793" s="670"/>
      <c r="M793" s="670"/>
      <c r="N793" s="670"/>
      <c r="O793" s="670"/>
      <c r="P793" s="670"/>
      <c r="Q793" s="670"/>
      <c r="R793" s="670"/>
      <c r="S793" s="670"/>
      <c r="T793" s="670"/>
      <c r="U793" s="670"/>
      <c r="V793" s="670"/>
      <c r="W793" s="670"/>
    </row>
    <row r="794" spans="1:23" ht="12.75" customHeight="1" x14ac:dyDescent="0.25">
      <c r="A794" s="670"/>
      <c r="B794" s="670"/>
      <c r="C794" s="670"/>
      <c r="D794" s="670"/>
      <c r="E794" s="670"/>
      <c r="F794" s="670"/>
      <c r="G794" s="670"/>
      <c r="H794" s="670"/>
      <c r="I794" s="670"/>
      <c r="J794" s="670"/>
      <c r="K794" s="670"/>
      <c r="L794" s="670"/>
      <c r="M794" s="670"/>
      <c r="N794" s="670"/>
      <c r="O794" s="670"/>
      <c r="P794" s="670"/>
      <c r="Q794" s="670"/>
      <c r="R794" s="670"/>
      <c r="S794" s="670"/>
      <c r="T794" s="670"/>
      <c r="U794" s="670"/>
      <c r="V794" s="670"/>
      <c r="W794" s="670"/>
    </row>
    <row r="795" spans="1:23" ht="12.75" customHeight="1" x14ac:dyDescent="0.25">
      <c r="A795" s="670"/>
      <c r="B795" s="670"/>
      <c r="C795" s="670"/>
      <c r="D795" s="670"/>
      <c r="E795" s="670"/>
      <c r="F795" s="670"/>
      <c r="G795" s="670"/>
      <c r="H795" s="670"/>
      <c r="I795" s="670"/>
      <c r="J795" s="670"/>
      <c r="K795" s="670"/>
      <c r="L795" s="670"/>
      <c r="M795" s="670"/>
      <c r="N795" s="670"/>
      <c r="O795" s="670"/>
      <c r="P795" s="670"/>
      <c r="Q795" s="670"/>
      <c r="R795" s="670"/>
      <c r="S795" s="670"/>
      <c r="T795" s="670"/>
      <c r="U795" s="670"/>
      <c r="V795" s="670"/>
      <c r="W795" s="670"/>
    </row>
    <row r="796" spans="1:23" ht="12.75" customHeight="1" x14ac:dyDescent="0.25">
      <c r="A796" s="670"/>
      <c r="B796" s="670"/>
      <c r="C796" s="670"/>
      <c r="D796" s="670"/>
      <c r="E796" s="670"/>
      <c r="F796" s="670"/>
      <c r="G796" s="670"/>
      <c r="H796" s="670"/>
      <c r="I796" s="670"/>
      <c r="J796" s="670"/>
      <c r="K796" s="670"/>
      <c r="L796" s="670"/>
      <c r="M796" s="670"/>
      <c r="N796" s="670"/>
      <c r="O796" s="670"/>
      <c r="P796" s="670"/>
      <c r="Q796" s="670"/>
      <c r="R796" s="670"/>
      <c r="S796" s="670"/>
      <c r="T796" s="670"/>
      <c r="U796" s="670"/>
      <c r="V796" s="670"/>
      <c r="W796" s="670"/>
    </row>
    <row r="797" spans="1:23" ht="12.75" customHeight="1" x14ac:dyDescent="0.25">
      <c r="A797" s="670"/>
      <c r="B797" s="670"/>
      <c r="C797" s="670"/>
      <c r="D797" s="670"/>
      <c r="E797" s="670"/>
      <c r="F797" s="670"/>
      <c r="G797" s="670"/>
      <c r="H797" s="670"/>
      <c r="I797" s="670"/>
      <c r="J797" s="670"/>
      <c r="K797" s="670"/>
      <c r="L797" s="670"/>
      <c r="M797" s="670"/>
      <c r="N797" s="670"/>
      <c r="O797" s="670"/>
      <c r="P797" s="670"/>
      <c r="Q797" s="670"/>
      <c r="R797" s="670"/>
      <c r="S797" s="670"/>
      <c r="T797" s="670"/>
      <c r="U797" s="670"/>
      <c r="V797" s="670"/>
      <c r="W797" s="670"/>
    </row>
    <row r="798" spans="1:23" ht="12.75" customHeight="1" x14ac:dyDescent="0.25">
      <c r="A798" s="670"/>
      <c r="B798" s="670"/>
      <c r="C798" s="670"/>
      <c r="D798" s="670"/>
      <c r="E798" s="670"/>
      <c r="F798" s="670"/>
      <c r="G798" s="670"/>
      <c r="H798" s="670"/>
      <c r="I798" s="670"/>
      <c r="J798" s="670"/>
      <c r="K798" s="670"/>
      <c r="L798" s="670"/>
      <c r="M798" s="670"/>
      <c r="N798" s="670"/>
      <c r="O798" s="670"/>
      <c r="P798" s="670"/>
      <c r="Q798" s="670"/>
      <c r="R798" s="670"/>
      <c r="S798" s="670"/>
      <c r="T798" s="670"/>
      <c r="U798" s="670"/>
      <c r="V798" s="670"/>
      <c r="W798" s="670"/>
    </row>
    <row r="799" spans="1:23" ht="12.75" customHeight="1" x14ac:dyDescent="0.25">
      <c r="A799" s="670"/>
      <c r="B799" s="670"/>
      <c r="C799" s="670"/>
      <c r="D799" s="670"/>
      <c r="E799" s="670"/>
      <c r="F799" s="670"/>
      <c r="G799" s="670"/>
      <c r="H799" s="670"/>
      <c r="I799" s="670"/>
      <c r="J799" s="670"/>
      <c r="K799" s="670"/>
      <c r="L799" s="670"/>
      <c r="M799" s="670"/>
      <c r="N799" s="670"/>
      <c r="O799" s="670"/>
      <c r="P799" s="670"/>
      <c r="Q799" s="670"/>
      <c r="R799" s="670"/>
      <c r="S799" s="670"/>
      <c r="T799" s="670"/>
      <c r="U799" s="670"/>
      <c r="V799" s="670"/>
      <c r="W799" s="670"/>
    </row>
    <row r="800" spans="1:23" ht="12.75" customHeight="1" x14ac:dyDescent="0.25">
      <c r="A800" s="670"/>
      <c r="B800" s="670"/>
      <c r="C800" s="670"/>
      <c r="D800" s="670"/>
      <c r="E800" s="670"/>
      <c r="F800" s="670"/>
      <c r="G800" s="670"/>
      <c r="H800" s="670"/>
      <c r="I800" s="670"/>
      <c r="J800" s="670"/>
      <c r="K800" s="670"/>
      <c r="L800" s="670"/>
      <c r="M800" s="670"/>
      <c r="N800" s="670"/>
      <c r="O800" s="670"/>
      <c r="P800" s="670"/>
      <c r="Q800" s="670"/>
      <c r="R800" s="670"/>
      <c r="S800" s="670"/>
      <c r="T800" s="670"/>
      <c r="U800" s="670"/>
      <c r="V800" s="670"/>
      <c r="W800" s="670"/>
    </row>
    <row r="801" spans="1:23" ht="12.75" customHeight="1" x14ac:dyDescent="0.25">
      <c r="A801" s="670"/>
      <c r="B801" s="670"/>
      <c r="C801" s="670"/>
      <c r="D801" s="670"/>
      <c r="E801" s="670"/>
      <c r="F801" s="670"/>
      <c r="G801" s="670"/>
      <c r="H801" s="670"/>
      <c r="I801" s="670"/>
      <c r="J801" s="670"/>
      <c r="K801" s="670"/>
      <c r="L801" s="670"/>
      <c r="M801" s="670"/>
      <c r="N801" s="670"/>
      <c r="O801" s="670"/>
      <c r="P801" s="670"/>
      <c r="Q801" s="670"/>
      <c r="R801" s="670"/>
      <c r="S801" s="670"/>
      <c r="T801" s="670"/>
      <c r="U801" s="670"/>
      <c r="V801" s="670"/>
      <c r="W801" s="670"/>
    </row>
    <row r="802" spans="1:23" ht="12.75" customHeight="1" x14ac:dyDescent="0.25">
      <c r="A802" s="670"/>
      <c r="B802" s="670"/>
      <c r="C802" s="670"/>
      <c r="D802" s="670"/>
      <c r="E802" s="670"/>
      <c r="F802" s="670"/>
      <c r="G802" s="670"/>
      <c r="H802" s="670"/>
      <c r="I802" s="670"/>
      <c r="J802" s="670"/>
      <c r="K802" s="670"/>
      <c r="L802" s="670"/>
      <c r="M802" s="670"/>
      <c r="N802" s="670"/>
      <c r="O802" s="670"/>
      <c r="P802" s="670"/>
      <c r="Q802" s="670"/>
      <c r="R802" s="670"/>
      <c r="S802" s="670"/>
      <c r="T802" s="670"/>
      <c r="U802" s="670"/>
      <c r="V802" s="670"/>
      <c r="W802" s="670"/>
    </row>
    <row r="803" spans="1:23" ht="12.75" customHeight="1" x14ac:dyDescent="0.25">
      <c r="A803" s="670"/>
      <c r="B803" s="670"/>
      <c r="C803" s="670"/>
      <c r="D803" s="670"/>
      <c r="E803" s="670"/>
      <c r="F803" s="670"/>
      <c r="G803" s="670"/>
      <c r="H803" s="670"/>
      <c r="I803" s="670"/>
      <c r="J803" s="670"/>
      <c r="K803" s="670"/>
      <c r="L803" s="670"/>
      <c r="M803" s="670"/>
      <c r="N803" s="670"/>
      <c r="O803" s="670"/>
      <c r="P803" s="670"/>
      <c r="Q803" s="670"/>
      <c r="R803" s="670"/>
      <c r="S803" s="670"/>
      <c r="T803" s="670"/>
      <c r="U803" s="670"/>
      <c r="V803" s="670"/>
      <c r="W803" s="670"/>
    </row>
    <row r="804" spans="1:23" ht="12.75" customHeight="1" x14ac:dyDescent="0.25">
      <c r="A804" s="670"/>
      <c r="B804" s="670"/>
      <c r="C804" s="670"/>
      <c r="D804" s="670"/>
      <c r="E804" s="670"/>
      <c r="F804" s="670"/>
      <c r="G804" s="670"/>
      <c r="H804" s="670"/>
      <c r="I804" s="670"/>
      <c r="J804" s="670"/>
      <c r="K804" s="670"/>
      <c r="L804" s="670"/>
      <c r="M804" s="670"/>
      <c r="N804" s="670"/>
      <c r="O804" s="670"/>
      <c r="P804" s="670"/>
      <c r="Q804" s="670"/>
      <c r="R804" s="670"/>
      <c r="S804" s="670"/>
      <c r="T804" s="670"/>
      <c r="U804" s="670"/>
      <c r="V804" s="670"/>
      <c r="W804" s="670"/>
    </row>
    <row r="805" spans="1:23" ht="12.75" customHeight="1" x14ac:dyDescent="0.25">
      <c r="A805" s="670"/>
      <c r="B805" s="670"/>
      <c r="C805" s="670"/>
      <c r="D805" s="670"/>
      <c r="E805" s="670"/>
      <c r="F805" s="670"/>
      <c r="G805" s="670"/>
      <c r="H805" s="670"/>
      <c r="I805" s="670"/>
      <c r="J805" s="670"/>
      <c r="K805" s="670"/>
      <c r="L805" s="670"/>
      <c r="M805" s="670"/>
      <c r="N805" s="670"/>
      <c r="O805" s="670"/>
      <c r="P805" s="670"/>
      <c r="Q805" s="670"/>
      <c r="R805" s="670"/>
      <c r="S805" s="670"/>
      <c r="T805" s="670"/>
      <c r="U805" s="670"/>
      <c r="V805" s="670"/>
      <c r="W805" s="670"/>
    </row>
    <row r="806" spans="1:23" ht="12.75" customHeight="1" x14ac:dyDescent="0.25">
      <c r="A806" s="670"/>
      <c r="B806" s="670"/>
      <c r="C806" s="670"/>
      <c r="D806" s="670"/>
      <c r="E806" s="670"/>
      <c r="F806" s="670"/>
      <c r="G806" s="670"/>
      <c r="H806" s="670"/>
      <c r="I806" s="670"/>
      <c r="J806" s="670"/>
      <c r="K806" s="670"/>
      <c r="L806" s="670"/>
      <c r="M806" s="670"/>
      <c r="N806" s="670"/>
      <c r="O806" s="670"/>
      <c r="P806" s="670"/>
      <c r="Q806" s="670"/>
      <c r="R806" s="670"/>
      <c r="S806" s="670"/>
      <c r="T806" s="670"/>
      <c r="U806" s="670"/>
      <c r="V806" s="670"/>
      <c r="W806" s="670"/>
    </row>
    <row r="807" spans="1:23" ht="12.75" customHeight="1" x14ac:dyDescent="0.25">
      <c r="A807" s="670"/>
      <c r="B807" s="670"/>
      <c r="C807" s="670"/>
      <c r="D807" s="670"/>
      <c r="E807" s="670"/>
      <c r="F807" s="670"/>
      <c r="G807" s="670"/>
      <c r="H807" s="670"/>
      <c r="I807" s="670"/>
      <c r="J807" s="670"/>
      <c r="K807" s="670"/>
      <c r="L807" s="670"/>
      <c r="M807" s="670"/>
      <c r="N807" s="670"/>
      <c r="O807" s="670"/>
      <c r="P807" s="670"/>
      <c r="Q807" s="670"/>
      <c r="R807" s="670"/>
      <c r="S807" s="670"/>
      <c r="T807" s="670"/>
      <c r="U807" s="670"/>
      <c r="V807" s="670"/>
      <c r="W807" s="670"/>
    </row>
    <row r="808" spans="1:23" ht="12.75" customHeight="1" x14ac:dyDescent="0.25">
      <c r="A808" s="670"/>
      <c r="B808" s="670"/>
      <c r="C808" s="670"/>
      <c r="D808" s="670"/>
      <c r="E808" s="670"/>
      <c r="F808" s="670"/>
      <c r="G808" s="670"/>
      <c r="H808" s="670"/>
      <c r="I808" s="670"/>
      <c r="J808" s="670"/>
      <c r="K808" s="670"/>
      <c r="L808" s="670"/>
      <c r="M808" s="670"/>
      <c r="N808" s="670"/>
      <c r="O808" s="670"/>
      <c r="P808" s="670"/>
      <c r="Q808" s="670"/>
      <c r="R808" s="670"/>
      <c r="S808" s="670"/>
      <c r="T808" s="670"/>
      <c r="U808" s="670"/>
      <c r="V808" s="670"/>
      <c r="W808" s="670"/>
    </row>
    <row r="809" spans="1:23" ht="12.75" customHeight="1" x14ac:dyDescent="0.25">
      <c r="A809" s="670"/>
      <c r="B809" s="670"/>
      <c r="C809" s="670"/>
      <c r="D809" s="670"/>
      <c r="E809" s="670"/>
      <c r="F809" s="670"/>
      <c r="G809" s="670"/>
      <c r="H809" s="670"/>
      <c r="I809" s="670"/>
      <c r="J809" s="670"/>
      <c r="K809" s="670"/>
      <c r="L809" s="670"/>
      <c r="M809" s="670"/>
      <c r="N809" s="670"/>
      <c r="O809" s="670"/>
      <c r="P809" s="670"/>
      <c r="Q809" s="670"/>
      <c r="R809" s="670"/>
      <c r="S809" s="670"/>
      <c r="T809" s="670"/>
      <c r="U809" s="670"/>
      <c r="V809" s="670"/>
      <c r="W809" s="670"/>
    </row>
    <row r="810" spans="1:23" ht="12.75" customHeight="1" x14ac:dyDescent="0.25">
      <c r="A810" s="670"/>
      <c r="B810" s="670"/>
      <c r="C810" s="670"/>
      <c r="D810" s="670"/>
      <c r="E810" s="670"/>
      <c r="F810" s="670"/>
      <c r="G810" s="670"/>
      <c r="H810" s="670"/>
      <c r="I810" s="670"/>
      <c r="J810" s="670"/>
      <c r="K810" s="670"/>
      <c r="L810" s="670"/>
      <c r="M810" s="670"/>
      <c r="N810" s="670"/>
      <c r="O810" s="670"/>
      <c r="P810" s="670"/>
      <c r="Q810" s="670"/>
      <c r="R810" s="670"/>
      <c r="S810" s="670"/>
      <c r="T810" s="670"/>
      <c r="U810" s="670"/>
      <c r="V810" s="670"/>
      <c r="W810" s="670"/>
    </row>
    <row r="811" spans="1:23" ht="12.75" customHeight="1" x14ac:dyDescent="0.25">
      <c r="A811" s="670"/>
      <c r="B811" s="670"/>
      <c r="C811" s="670"/>
      <c r="D811" s="670"/>
      <c r="E811" s="670"/>
      <c r="F811" s="670"/>
      <c r="G811" s="670"/>
      <c r="H811" s="670"/>
      <c r="I811" s="670"/>
      <c r="J811" s="670"/>
      <c r="K811" s="670"/>
      <c r="L811" s="670"/>
      <c r="M811" s="670"/>
      <c r="N811" s="670"/>
      <c r="O811" s="670"/>
      <c r="P811" s="670"/>
      <c r="Q811" s="670"/>
      <c r="R811" s="670"/>
      <c r="S811" s="670"/>
      <c r="T811" s="670"/>
      <c r="U811" s="670"/>
      <c r="V811" s="670"/>
      <c r="W811" s="670"/>
    </row>
    <row r="812" spans="1:23" ht="12.75" customHeight="1" x14ac:dyDescent="0.25">
      <c r="A812" s="670"/>
      <c r="B812" s="670"/>
      <c r="C812" s="670"/>
      <c r="D812" s="670"/>
      <c r="E812" s="670"/>
      <c r="F812" s="670"/>
      <c r="G812" s="670"/>
      <c r="H812" s="670"/>
      <c r="I812" s="670"/>
      <c r="J812" s="670"/>
      <c r="K812" s="670"/>
      <c r="L812" s="670"/>
      <c r="M812" s="670"/>
      <c r="N812" s="670"/>
      <c r="O812" s="670"/>
      <c r="P812" s="670"/>
      <c r="Q812" s="670"/>
      <c r="R812" s="670"/>
      <c r="S812" s="670"/>
      <c r="T812" s="670"/>
      <c r="U812" s="670"/>
      <c r="V812" s="670"/>
      <c r="W812" s="670"/>
    </row>
    <row r="813" spans="1:23" ht="12.75" customHeight="1" x14ac:dyDescent="0.25">
      <c r="A813" s="670"/>
      <c r="B813" s="670"/>
      <c r="C813" s="670"/>
      <c r="D813" s="670"/>
      <c r="E813" s="670"/>
      <c r="F813" s="670"/>
      <c r="G813" s="670"/>
      <c r="H813" s="670"/>
      <c r="I813" s="670"/>
      <c r="J813" s="670"/>
      <c r="K813" s="670"/>
      <c r="L813" s="670"/>
      <c r="M813" s="670"/>
      <c r="N813" s="670"/>
      <c r="O813" s="670"/>
      <c r="P813" s="670"/>
      <c r="Q813" s="670"/>
      <c r="R813" s="670"/>
      <c r="S813" s="670"/>
      <c r="T813" s="670"/>
      <c r="U813" s="670"/>
      <c r="V813" s="670"/>
      <c r="W813" s="670"/>
    </row>
    <row r="814" spans="1:23" ht="12.75" customHeight="1" x14ac:dyDescent="0.25">
      <c r="A814" s="670"/>
      <c r="B814" s="670"/>
      <c r="C814" s="670"/>
      <c r="D814" s="670"/>
      <c r="E814" s="670"/>
      <c r="F814" s="670"/>
      <c r="G814" s="670"/>
      <c r="H814" s="670"/>
      <c r="I814" s="670"/>
      <c r="J814" s="670"/>
      <c r="K814" s="670"/>
      <c r="L814" s="670"/>
      <c r="M814" s="670"/>
      <c r="N814" s="670"/>
      <c r="O814" s="670"/>
      <c r="P814" s="670"/>
      <c r="Q814" s="670"/>
      <c r="R814" s="670"/>
      <c r="S814" s="670"/>
      <c r="T814" s="670"/>
      <c r="U814" s="670"/>
      <c r="V814" s="670"/>
      <c r="W814" s="670"/>
    </row>
    <row r="815" spans="1:23" ht="12.75" customHeight="1" x14ac:dyDescent="0.25">
      <c r="A815" s="670"/>
      <c r="B815" s="670"/>
      <c r="C815" s="670"/>
      <c r="D815" s="670"/>
      <c r="E815" s="670"/>
      <c r="F815" s="670"/>
      <c r="G815" s="670"/>
      <c r="H815" s="670"/>
      <c r="I815" s="670"/>
      <c r="J815" s="670"/>
      <c r="K815" s="670"/>
      <c r="L815" s="670"/>
      <c r="M815" s="670"/>
      <c r="N815" s="670"/>
      <c r="O815" s="670"/>
      <c r="P815" s="670"/>
      <c r="Q815" s="670"/>
      <c r="R815" s="670"/>
      <c r="S815" s="670"/>
      <c r="T815" s="670"/>
      <c r="U815" s="670"/>
      <c r="V815" s="670"/>
      <c r="W815" s="670"/>
    </row>
    <row r="816" spans="1:23" ht="12.75" customHeight="1" x14ac:dyDescent="0.25">
      <c r="A816" s="670"/>
      <c r="B816" s="670"/>
      <c r="C816" s="670"/>
      <c r="D816" s="670"/>
      <c r="E816" s="670"/>
      <c r="F816" s="670"/>
      <c r="G816" s="670"/>
      <c r="H816" s="670"/>
      <c r="I816" s="670"/>
      <c r="J816" s="670"/>
      <c r="K816" s="670"/>
      <c r="L816" s="670"/>
      <c r="M816" s="670"/>
      <c r="N816" s="670"/>
      <c r="O816" s="670"/>
      <c r="P816" s="670"/>
      <c r="Q816" s="670"/>
      <c r="R816" s="670"/>
      <c r="S816" s="670"/>
      <c r="T816" s="670"/>
      <c r="U816" s="670"/>
      <c r="V816" s="670"/>
      <c r="W816" s="670"/>
    </row>
    <row r="817" spans="1:23" ht="12.75" customHeight="1" x14ac:dyDescent="0.25">
      <c r="A817" s="670"/>
      <c r="B817" s="670"/>
      <c r="C817" s="670"/>
      <c r="D817" s="670"/>
      <c r="E817" s="670"/>
      <c r="F817" s="670"/>
      <c r="G817" s="670"/>
      <c r="H817" s="670"/>
      <c r="I817" s="670"/>
      <c r="J817" s="670"/>
      <c r="K817" s="670"/>
      <c r="L817" s="670"/>
      <c r="M817" s="670"/>
      <c r="N817" s="670"/>
      <c r="O817" s="670"/>
      <c r="P817" s="670"/>
      <c r="Q817" s="670"/>
      <c r="R817" s="670"/>
      <c r="S817" s="670"/>
      <c r="T817" s="670"/>
      <c r="U817" s="670"/>
      <c r="V817" s="670"/>
      <c r="W817" s="670"/>
    </row>
    <row r="818" spans="1:23" ht="12.75" customHeight="1" x14ac:dyDescent="0.25">
      <c r="A818" s="670"/>
      <c r="B818" s="670"/>
      <c r="C818" s="670"/>
      <c r="D818" s="670"/>
      <c r="E818" s="670"/>
      <c r="F818" s="670"/>
      <c r="G818" s="670"/>
      <c r="H818" s="670"/>
      <c r="I818" s="670"/>
      <c r="J818" s="670"/>
      <c r="K818" s="670"/>
      <c r="L818" s="670"/>
      <c r="M818" s="670"/>
      <c r="N818" s="670"/>
      <c r="O818" s="670"/>
      <c r="P818" s="670"/>
      <c r="Q818" s="670"/>
      <c r="R818" s="670"/>
      <c r="S818" s="670"/>
      <c r="T818" s="670"/>
      <c r="U818" s="670"/>
      <c r="V818" s="670"/>
      <c r="W818" s="670"/>
    </row>
    <row r="819" spans="1:23" ht="12.75" customHeight="1" x14ac:dyDescent="0.25">
      <c r="A819" s="670"/>
      <c r="B819" s="670"/>
      <c r="C819" s="670"/>
      <c r="D819" s="670"/>
      <c r="E819" s="670"/>
      <c r="F819" s="670"/>
      <c r="G819" s="670"/>
      <c r="H819" s="670"/>
      <c r="I819" s="670"/>
      <c r="J819" s="670"/>
      <c r="K819" s="670"/>
      <c r="L819" s="670"/>
      <c r="M819" s="670"/>
      <c r="N819" s="670"/>
      <c r="O819" s="670"/>
      <c r="P819" s="670"/>
      <c r="Q819" s="670"/>
      <c r="R819" s="670"/>
      <c r="S819" s="670"/>
      <c r="T819" s="670"/>
      <c r="U819" s="670"/>
      <c r="V819" s="670"/>
      <c r="W819" s="670"/>
    </row>
    <row r="820" spans="1:23" ht="12.75" customHeight="1" x14ac:dyDescent="0.25">
      <c r="A820" s="670"/>
      <c r="B820" s="670"/>
      <c r="C820" s="670"/>
      <c r="D820" s="670"/>
      <c r="E820" s="670"/>
      <c r="F820" s="670"/>
      <c r="G820" s="670"/>
      <c r="H820" s="670"/>
      <c r="I820" s="670"/>
      <c r="J820" s="670"/>
      <c r="K820" s="670"/>
      <c r="L820" s="670"/>
      <c r="M820" s="670"/>
      <c r="N820" s="670"/>
      <c r="O820" s="670"/>
      <c r="P820" s="670"/>
      <c r="Q820" s="670"/>
      <c r="R820" s="670"/>
      <c r="S820" s="670"/>
      <c r="T820" s="670"/>
      <c r="U820" s="670"/>
      <c r="V820" s="670"/>
      <c r="W820" s="670"/>
    </row>
    <row r="821" spans="1:23" ht="12.75" customHeight="1" x14ac:dyDescent="0.25">
      <c r="A821" s="670"/>
      <c r="B821" s="670"/>
      <c r="C821" s="670"/>
      <c r="D821" s="670"/>
      <c r="E821" s="670"/>
      <c r="F821" s="670"/>
      <c r="G821" s="670"/>
      <c r="H821" s="670"/>
      <c r="I821" s="670"/>
      <c r="J821" s="670"/>
      <c r="K821" s="670"/>
      <c r="L821" s="670"/>
      <c r="M821" s="670"/>
      <c r="N821" s="670"/>
      <c r="O821" s="670"/>
      <c r="P821" s="670"/>
      <c r="Q821" s="670"/>
      <c r="R821" s="670"/>
      <c r="S821" s="670"/>
      <c r="T821" s="670"/>
      <c r="U821" s="670"/>
      <c r="V821" s="670"/>
      <c r="W821" s="670"/>
    </row>
    <row r="822" spans="1:23" ht="12.75" customHeight="1" x14ac:dyDescent="0.25">
      <c r="A822" s="670"/>
      <c r="B822" s="670"/>
      <c r="C822" s="670"/>
      <c r="D822" s="670"/>
      <c r="E822" s="670"/>
      <c r="F822" s="670"/>
      <c r="G822" s="670"/>
      <c r="H822" s="670"/>
      <c r="I822" s="670"/>
      <c r="J822" s="670"/>
      <c r="K822" s="670"/>
      <c r="L822" s="670"/>
      <c r="M822" s="670"/>
      <c r="N822" s="670"/>
      <c r="O822" s="670"/>
      <c r="P822" s="670"/>
      <c r="Q822" s="670"/>
      <c r="R822" s="670"/>
      <c r="S822" s="670"/>
      <c r="T822" s="670"/>
      <c r="U822" s="670"/>
      <c r="V822" s="670"/>
      <c r="W822" s="670"/>
    </row>
    <row r="823" spans="1:23" ht="12.75" customHeight="1" x14ac:dyDescent="0.25">
      <c r="A823" s="670"/>
      <c r="B823" s="670"/>
      <c r="C823" s="670"/>
      <c r="D823" s="670"/>
      <c r="E823" s="670"/>
      <c r="F823" s="670"/>
      <c r="G823" s="670"/>
      <c r="H823" s="670"/>
      <c r="I823" s="670"/>
      <c r="J823" s="670"/>
      <c r="K823" s="670"/>
      <c r="L823" s="670"/>
      <c r="M823" s="670"/>
      <c r="N823" s="670"/>
      <c r="O823" s="670"/>
      <c r="P823" s="670"/>
      <c r="Q823" s="670"/>
      <c r="R823" s="670"/>
      <c r="S823" s="670"/>
      <c r="T823" s="670"/>
      <c r="U823" s="670"/>
      <c r="V823" s="670"/>
      <c r="W823" s="670"/>
    </row>
    <row r="824" spans="1:23" ht="12.75" customHeight="1" x14ac:dyDescent="0.25">
      <c r="A824" s="670"/>
      <c r="B824" s="670"/>
      <c r="C824" s="670"/>
      <c r="D824" s="670"/>
      <c r="E824" s="670"/>
      <c r="F824" s="670"/>
      <c r="G824" s="670"/>
      <c r="H824" s="670"/>
      <c r="I824" s="670"/>
      <c r="J824" s="670"/>
      <c r="K824" s="670"/>
      <c r="L824" s="670"/>
      <c r="M824" s="670"/>
      <c r="N824" s="670"/>
      <c r="O824" s="670"/>
      <c r="P824" s="670"/>
      <c r="Q824" s="670"/>
      <c r="R824" s="670"/>
      <c r="S824" s="670"/>
      <c r="T824" s="670"/>
      <c r="U824" s="670"/>
      <c r="V824" s="670"/>
      <c r="W824" s="670"/>
    </row>
    <row r="825" spans="1:23" ht="12.75" customHeight="1" x14ac:dyDescent="0.25">
      <c r="A825" s="670"/>
      <c r="B825" s="670"/>
      <c r="C825" s="670"/>
      <c r="D825" s="670"/>
      <c r="E825" s="670"/>
      <c r="F825" s="670"/>
      <c r="G825" s="670"/>
      <c r="H825" s="670"/>
      <c r="I825" s="670"/>
      <c r="J825" s="670"/>
      <c r="K825" s="670"/>
      <c r="L825" s="670"/>
      <c r="M825" s="670"/>
      <c r="N825" s="670"/>
      <c r="O825" s="670"/>
      <c r="P825" s="670"/>
      <c r="Q825" s="670"/>
      <c r="R825" s="670"/>
      <c r="S825" s="670"/>
      <c r="T825" s="670"/>
      <c r="U825" s="670"/>
      <c r="V825" s="670"/>
      <c r="W825" s="670"/>
    </row>
    <row r="826" spans="1:23" ht="12.75" customHeight="1" x14ac:dyDescent="0.25">
      <c r="A826" s="670"/>
      <c r="B826" s="670"/>
      <c r="C826" s="670"/>
      <c r="D826" s="670"/>
      <c r="E826" s="670"/>
      <c r="F826" s="670"/>
      <c r="G826" s="670"/>
      <c r="H826" s="670"/>
      <c r="I826" s="670"/>
      <c r="J826" s="670"/>
      <c r="K826" s="670"/>
      <c r="L826" s="670"/>
      <c r="M826" s="670"/>
      <c r="N826" s="670"/>
      <c r="O826" s="670"/>
      <c r="P826" s="670"/>
      <c r="Q826" s="670"/>
      <c r="R826" s="670"/>
      <c r="S826" s="670"/>
      <c r="T826" s="670"/>
      <c r="U826" s="670"/>
      <c r="V826" s="670"/>
      <c r="W826" s="670"/>
    </row>
    <row r="827" spans="1:23" ht="12.75" customHeight="1" x14ac:dyDescent="0.25">
      <c r="A827" s="670"/>
      <c r="B827" s="670"/>
      <c r="C827" s="670"/>
      <c r="D827" s="670"/>
      <c r="E827" s="670"/>
      <c r="F827" s="670"/>
      <c r="G827" s="670"/>
      <c r="H827" s="670"/>
      <c r="I827" s="670"/>
      <c r="J827" s="670"/>
      <c r="K827" s="670"/>
      <c r="L827" s="670"/>
      <c r="M827" s="670"/>
      <c r="N827" s="670"/>
      <c r="O827" s="670"/>
      <c r="P827" s="670"/>
      <c r="Q827" s="670"/>
      <c r="R827" s="670"/>
      <c r="S827" s="670"/>
      <c r="T827" s="670"/>
      <c r="U827" s="670"/>
      <c r="V827" s="670"/>
      <c r="W827" s="670"/>
    </row>
    <row r="828" spans="1:23" ht="12.75" customHeight="1" x14ac:dyDescent="0.25">
      <c r="A828" s="670"/>
      <c r="B828" s="670"/>
      <c r="C828" s="670"/>
      <c r="D828" s="670"/>
      <c r="E828" s="670"/>
      <c r="F828" s="670"/>
      <c r="G828" s="670"/>
      <c r="H828" s="670"/>
      <c r="I828" s="670"/>
      <c r="J828" s="670"/>
      <c r="K828" s="670"/>
      <c r="L828" s="670"/>
      <c r="M828" s="670"/>
      <c r="N828" s="670"/>
      <c r="O828" s="670"/>
      <c r="P828" s="670"/>
      <c r="Q828" s="670"/>
      <c r="R828" s="670"/>
      <c r="S828" s="670"/>
      <c r="T828" s="670"/>
      <c r="U828" s="670"/>
      <c r="V828" s="670"/>
      <c r="W828" s="670"/>
    </row>
    <row r="829" spans="1:23" ht="12.75" customHeight="1" x14ac:dyDescent="0.25">
      <c r="A829" s="670"/>
      <c r="B829" s="670"/>
      <c r="C829" s="670"/>
      <c r="D829" s="670"/>
      <c r="E829" s="670"/>
      <c r="F829" s="670"/>
      <c r="G829" s="670"/>
      <c r="H829" s="670"/>
      <c r="I829" s="670"/>
      <c r="J829" s="670"/>
      <c r="K829" s="670"/>
      <c r="L829" s="670"/>
      <c r="M829" s="670"/>
      <c r="N829" s="670"/>
      <c r="O829" s="670"/>
      <c r="P829" s="670"/>
      <c r="Q829" s="670"/>
      <c r="R829" s="670"/>
      <c r="S829" s="670"/>
      <c r="T829" s="670"/>
      <c r="U829" s="670"/>
      <c r="V829" s="670"/>
      <c r="W829" s="670"/>
    </row>
    <row r="830" spans="1:23" ht="12.75" customHeight="1" x14ac:dyDescent="0.25">
      <c r="A830" s="670"/>
      <c r="B830" s="670"/>
      <c r="C830" s="670"/>
      <c r="D830" s="670"/>
      <c r="E830" s="670"/>
      <c r="F830" s="670"/>
      <c r="G830" s="670"/>
      <c r="H830" s="670"/>
      <c r="I830" s="670"/>
      <c r="J830" s="670"/>
      <c r="K830" s="670"/>
      <c r="L830" s="670"/>
      <c r="M830" s="670"/>
      <c r="N830" s="670"/>
      <c r="O830" s="670"/>
      <c r="P830" s="670"/>
      <c r="Q830" s="670"/>
      <c r="R830" s="670"/>
      <c r="S830" s="670"/>
      <c r="T830" s="670"/>
      <c r="U830" s="670"/>
      <c r="V830" s="670"/>
      <c r="W830" s="670"/>
    </row>
    <row r="831" spans="1:23" ht="12.75" customHeight="1" x14ac:dyDescent="0.25">
      <c r="A831" s="670"/>
      <c r="B831" s="670"/>
      <c r="C831" s="670"/>
      <c r="D831" s="670"/>
      <c r="E831" s="670"/>
      <c r="F831" s="670"/>
      <c r="G831" s="670"/>
      <c r="H831" s="670"/>
      <c r="I831" s="670"/>
      <c r="J831" s="670"/>
      <c r="K831" s="670"/>
      <c r="L831" s="670"/>
      <c r="M831" s="670"/>
      <c r="N831" s="670"/>
      <c r="O831" s="670"/>
      <c r="P831" s="670"/>
      <c r="Q831" s="670"/>
      <c r="R831" s="670"/>
      <c r="S831" s="670"/>
      <c r="T831" s="670"/>
      <c r="U831" s="670"/>
      <c r="V831" s="670"/>
      <c r="W831" s="670"/>
    </row>
    <row r="832" spans="1:23" ht="12.75" customHeight="1" x14ac:dyDescent="0.25">
      <c r="A832" s="670"/>
      <c r="B832" s="670"/>
      <c r="C832" s="670"/>
      <c r="D832" s="670"/>
      <c r="E832" s="670"/>
      <c r="F832" s="670"/>
      <c r="G832" s="670"/>
      <c r="H832" s="670"/>
      <c r="I832" s="670"/>
      <c r="J832" s="670"/>
      <c r="K832" s="670"/>
      <c r="L832" s="670"/>
      <c r="M832" s="670"/>
      <c r="N832" s="670"/>
      <c r="O832" s="670"/>
      <c r="P832" s="670"/>
      <c r="Q832" s="670"/>
      <c r="R832" s="670"/>
      <c r="S832" s="670"/>
      <c r="T832" s="670"/>
      <c r="U832" s="670"/>
      <c r="V832" s="670"/>
      <c r="W832" s="670"/>
    </row>
    <row r="833" spans="1:23" ht="12.75" customHeight="1" x14ac:dyDescent="0.25">
      <c r="A833" s="670"/>
      <c r="B833" s="670"/>
      <c r="C833" s="670"/>
      <c r="D833" s="670"/>
      <c r="E833" s="670"/>
      <c r="F833" s="670"/>
      <c r="G833" s="670"/>
      <c r="H833" s="670"/>
      <c r="I833" s="670"/>
      <c r="J833" s="670"/>
      <c r="K833" s="670"/>
      <c r="L833" s="670"/>
      <c r="M833" s="670"/>
      <c r="N833" s="670"/>
      <c r="O833" s="670"/>
      <c r="P833" s="670"/>
      <c r="Q833" s="670"/>
      <c r="R833" s="670"/>
      <c r="S833" s="670"/>
      <c r="T833" s="670"/>
      <c r="U833" s="670"/>
      <c r="V833" s="670"/>
      <c r="W833" s="670"/>
    </row>
    <row r="834" spans="1:23" ht="12.75" customHeight="1" x14ac:dyDescent="0.25">
      <c r="A834" s="670"/>
      <c r="B834" s="670"/>
      <c r="C834" s="670"/>
      <c r="D834" s="670"/>
      <c r="E834" s="670"/>
      <c r="F834" s="670"/>
      <c r="G834" s="670"/>
      <c r="H834" s="670"/>
      <c r="I834" s="670"/>
      <c r="J834" s="670"/>
      <c r="K834" s="670"/>
      <c r="L834" s="670"/>
      <c r="M834" s="670"/>
      <c r="N834" s="670"/>
      <c r="O834" s="670"/>
      <c r="P834" s="670"/>
      <c r="Q834" s="670"/>
      <c r="R834" s="670"/>
      <c r="S834" s="670"/>
      <c r="T834" s="670"/>
      <c r="U834" s="670"/>
      <c r="V834" s="670"/>
      <c r="W834" s="670"/>
    </row>
    <row r="835" spans="1:23" ht="12.75" customHeight="1" x14ac:dyDescent="0.25">
      <c r="A835" s="670"/>
      <c r="B835" s="670"/>
      <c r="C835" s="670"/>
      <c r="D835" s="670"/>
      <c r="E835" s="670"/>
      <c r="F835" s="670"/>
      <c r="G835" s="670"/>
      <c r="H835" s="670"/>
      <c r="I835" s="670"/>
      <c r="J835" s="670"/>
      <c r="K835" s="670"/>
      <c r="L835" s="670"/>
      <c r="M835" s="670"/>
      <c r="N835" s="670"/>
      <c r="O835" s="670"/>
      <c r="P835" s="670"/>
      <c r="Q835" s="670"/>
      <c r="R835" s="670"/>
      <c r="S835" s="670"/>
      <c r="T835" s="670"/>
      <c r="U835" s="670"/>
      <c r="V835" s="670"/>
      <c r="W835" s="670"/>
    </row>
    <row r="836" spans="1:23" ht="12.75" customHeight="1" x14ac:dyDescent="0.25">
      <c r="A836" s="670"/>
      <c r="B836" s="670"/>
      <c r="C836" s="670"/>
      <c r="D836" s="670"/>
      <c r="E836" s="670"/>
      <c r="F836" s="670"/>
      <c r="G836" s="670"/>
      <c r="H836" s="670"/>
      <c r="I836" s="670"/>
      <c r="J836" s="670"/>
      <c r="K836" s="670"/>
      <c r="L836" s="670"/>
      <c r="M836" s="670"/>
      <c r="N836" s="670"/>
      <c r="O836" s="670"/>
      <c r="P836" s="670"/>
      <c r="Q836" s="670"/>
      <c r="R836" s="670"/>
      <c r="S836" s="670"/>
      <c r="T836" s="670"/>
      <c r="U836" s="670"/>
      <c r="V836" s="670"/>
      <c r="W836" s="670"/>
    </row>
    <row r="837" spans="1:23" ht="12.75" customHeight="1" x14ac:dyDescent="0.25">
      <c r="A837" s="670"/>
      <c r="B837" s="670"/>
      <c r="C837" s="670"/>
      <c r="D837" s="670"/>
      <c r="E837" s="670"/>
      <c r="F837" s="670"/>
      <c r="G837" s="670"/>
      <c r="H837" s="670"/>
      <c r="I837" s="670"/>
      <c r="J837" s="670"/>
      <c r="K837" s="670"/>
      <c r="L837" s="670"/>
      <c r="M837" s="670"/>
      <c r="N837" s="670"/>
      <c r="O837" s="670"/>
      <c r="P837" s="670"/>
      <c r="Q837" s="670"/>
      <c r="R837" s="670"/>
      <c r="S837" s="670"/>
      <c r="T837" s="670"/>
      <c r="U837" s="670"/>
      <c r="V837" s="670"/>
      <c r="W837" s="670"/>
    </row>
    <row r="838" spans="1:23" ht="12.75" customHeight="1" x14ac:dyDescent="0.25">
      <c r="A838" s="670"/>
      <c r="B838" s="670"/>
      <c r="C838" s="670"/>
      <c r="D838" s="670"/>
      <c r="E838" s="670"/>
      <c r="F838" s="670"/>
      <c r="G838" s="670"/>
      <c r="H838" s="670"/>
      <c r="I838" s="670"/>
      <c r="J838" s="670"/>
      <c r="K838" s="670"/>
      <c r="L838" s="670"/>
      <c r="M838" s="670"/>
      <c r="N838" s="670"/>
      <c r="O838" s="670"/>
      <c r="P838" s="670"/>
      <c r="Q838" s="670"/>
      <c r="R838" s="670"/>
      <c r="S838" s="670"/>
      <c r="T838" s="670"/>
      <c r="U838" s="670"/>
      <c r="V838" s="670"/>
      <c r="W838" s="670"/>
    </row>
    <row r="839" spans="1:23" ht="12.75" customHeight="1" x14ac:dyDescent="0.25">
      <c r="A839" s="670"/>
      <c r="B839" s="670"/>
      <c r="C839" s="670"/>
      <c r="D839" s="670"/>
      <c r="E839" s="670"/>
      <c r="F839" s="670"/>
      <c r="G839" s="670"/>
      <c r="H839" s="670"/>
      <c r="I839" s="670"/>
      <c r="J839" s="670"/>
      <c r="K839" s="670"/>
      <c r="L839" s="670"/>
      <c r="M839" s="670"/>
      <c r="N839" s="670"/>
      <c r="O839" s="670"/>
      <c r="P839" s="670"/>
      <c r="Q839" s="670"/>
      <c r="R839" s="670"/>
      <c r="S839" s="670"/>
      <c r="T839" s="670"/>
      <c r="U839" s="670"/>
      <c r="V839" s="670"/>
      <c r="W839" s="670"/>
    </row>
    <row r="840" spans="1:23" ht="12.75" customHeight="1" x14ac:dyDescent="0.25">
      <c r="A840" s="670"/>
      <c r="B840" s="670"/>
      <c r="C840" s="670"/>
      <c r="D840" s="670"/>
      <c r="E840" s="670"/>
      <c r="F840" s="670"/>
      <c r="G840" s="670"/>
      <c r="H840" s="670"/>
      <c r="I840" s="670"/>
      <c r="J840" s="670"/>
      <c r="K840" s="670"/>
      <c r="L840" s="670"/>
      <c r="M840" s="670"/>
      <c r="N840" s="670"/>
      <c r="O840" s="670"/>
      <c r="P840" s="670"/>
      <c r="Q840" s="670"/>
      <c r="R840" s="670"/>
      <c r="S840" s="670"/>
      <c r="T840" s="670"/>
      <c r="U840" s="670"/>
      <c r="V840" s="670"/>
      <c r="W840" s="670"/>
    </row>
    <row r="841" spans="1:23" ht="12.75" customHeight="1" x14ac:dyDescent="0.25">
      <c r="A841" s="670"/>
      <c r="B841" s="670"/>
      <c r="C841" s="670"/>
      <c r="D841" s="670"/>
      <c r="E841" s="670"/>
      <c r="F841" s="670"/>
      <c r="G841" s="670"/>
      <c r="H841" s="670"/>
      <c r="I841" s="670"/>
      <c r="J841" s="670"/>
      <c r="K841" s="670"/>
      <c r="L841" s="670"/>
      <c r="M841" s="670"/>
      <c r="N841" s="670"/>
      <c r="O841" s="670"/>
      <c r="P841" s="670"/>
      <c r="Q841" s="670"/>
      <c r="R841" s="670"/>
      <c r="S841" s="670"/>
      <c r="T841" s="670"/>
      <c r="U841" s="670"/>
      <c r="V841" s="670"/>
      <c r="W841" s="670"/>
    </row>
    <row r="842" spans="1:23" ht="12.75" customHeight="1" x14ac:dyDescent="0.25">
      <c r="A842" s="670"/>
      <c r="B842" s="670"/>
      <c r="C842" s="670"/>
      <c r="D842" s="670"/>
      <c r="E842" s="670"/>
      <c r="F842" s="670"/>
      <c r="G842" s="670"/>
      <c r="H842" s="670"/>
      <c r="I842" s="670"/>
      <c r="J842" s="670"/>
      <c r="K842" s="670"/>
      <c r="L842" s="670"/>
      <c r="M842" s="670"/>
      <c r="N842" s="670"/>
      <c r="O842" s="670"/>
      <c r="P842" s="670"/>
      <c r="Q842" s="670"/>
      <c r="R842" s="670"/>
      <c r="S842" s="670"/>
      <c r="T842" s="670"/>
      <c r="U842" s="670"/>
      <c r="V842" s="670"/>
      <c r="W842" s="670"/>
    </row>
    <row r="843" spans="1:23" ht="12.75" customHeight="1" x14ac:dyDescent="0.25">
      <c r="A843" s="670"/>
      <c r="B843" s="670"/>
      <c r="C843" s="670"/>
      <c r="D843" s="670"/>
      <c r="E843" s="670"/>
      <c r="F843" s="670"/>
      <c r="G843" s="670"/>
      <c r="H843" s="670"/>
      <c r="I843" s="670"/>
      <c r="J843" s="670"/>
      <c r="K843" s="670"/>
      <c r="L843" s="670"/>
      <c r="M843" s="670"/>
      <c r="N843" s="670"/>
      <c r="O843" s="670"/>
      <c r="P843" s="670"/>
      <c r="Q843" s="670"/>
      <c r="R843" s="670"/>
      <c r="S843" s="670"/>
      <c r="T843" s="670"/>
      <c r="U843" s="670"/>
      <c r="V843" s="670"/>
      <c r="W843" s="670"/>
    </row>
    <row r="844" spans="1:23" ht="12.75" customHeight="1" x14ac:dyDescent="0.25">
      <c r="A844" s="670"/>
      <c r="B844" s="670"/>
      <c r="C844" s="670"/>
      <c r="D844" s="670"/>
      <c r="E844" s="670"/>
      <c r="F844" s="670"/>
      <c r="G844" s="670"/>
      <c r="H844" s="670"/>
      <c r="I844" s="670"/>
      <c r="J844" s="670"/>
      <c r="K844" s="670"/>
      <c r="L844" s="670"/>
      <c r="M844" s="670"/>
      <c r="N844" s="670"/>
      <c r="O844" s="670"/>
      <c r="P844" s="670"/>
      <c r="Q844" s="670"/>
      <c r="R844" s="670"/>
      <c r="S844" s="670"/>
      <c r="T844" s="670"/>
      <c r="U844" s="670"/>
      <c r="V844" s="670"/>
      <c r="W844" s="670"/>
    </row>
    <row r="845" spans="1:23" ht="12.75" customHeight="1" x14ac:dyDescent="0.25">
      <c r="A845" s="670"/>
      <c r="B845" s="670"/>
      <c r="C845" s="670"/>
      <c r="D845" s="670"/>
      <c r="E845" s="670"/>
      <c r="F845" s="670"/>
      <c r="G845" s="670"/>
      <c r="H845" s="670"/>
      <c r="I845" s="670"/>
      <c r="J845" s="670"/>
      <c r="K845" s="670"/>
      <c r="L845" s="670"/>
      <c r="M845" s="670"/>
      <c r="N845" s="670"/>
      <c r="O845" s="670"/>
      <c r="P845" s="670"/>
      <c r="Q845" s="670"/>
      <c r="R845" s="670"/>
      <c r="S845" s="670"/>
      <c r="T845" s="670"/>
      <c r="U845" s="670"/>
      <c r="V845" s="670"/>
      <c r="W845" s="670"/>
    </row>
    <row r="846" spans="1:23" ht="12.75" customHeight="1" x14ac:dyDescent="0.25">
      <c r="A846" s="670"/>
      <c r="B846" s="670"/>
      <c r="C846" s="670"/>
      <c r="D846" s="670"/>
      <c r="E846" s="670"/>
      <c r="F846" s="670"/>
      <c r="G846" s="670"/>
      <c r="H846" s="670"/>
      <c r="I846" s="670"/>
      <c r="J846" s="670"/>
      <c r="K846" s="670"/>
      <c r="L846" s="670"/>
      <c r="M846" s="670"/>
      <c r="N846" s="670"/>
      <c r="O846" s="670"/>
      <c r="P846" s="670"/>
      <c r="Q846" s="670"/>
      <c r="R846" s="670"/>
      <c r="S846" s="670"/>
      <c r="T846" s="670"/>
      <c r="U846" s="670"/>
      <c r="V846" s="670"/>
      <c r="W846" s="670"/>
    </row>
    <row r="847" spans="1:23" ht="12.75" customHeight="1" x14ac:dyDescent="0.25">
      <c r="A847" s="670"/>
      <c r="B847" s="670"/>
      <c r="C847" s="670"/>
      <c r="D847" s="670"/>
      <c r="E847" s="670"/>
      <c r="F847" s="670"/>
      <c r="G847" s="670"/>
      <c r="H847" s="670"/>
      <c r="I847" s="670"/>
      <c r="J847" s="670"/>
      <c r="K847" s="670"/>
      <c r="L847" s="670"/>
      <c r="M847" s="670"/>
      <c r="N847" s="670"/>
      <c r="O847" s="670"/>
      <c r="P847" s="670"/>
      <c r="Q847" s="670"/>
      <c r="R847" s="670"/>
      <c r="S847" s="670"/>
      <c r="T847" s="670"/>
      <c r="U847" s="670"/>
      <c r="V847" s="670"/>
      <c r="W847" s="670"/>
    </row>
    <row r="848" spans="1:23" ht="12.75" customHeight="1" x14ac:dyDescent="0.25">
      <c r="A848" s="670"/>
      <c r="B848" s="670"/>
      <c r="C848" s="670"/>
      <c r="D848" s="670"/>
      <c r="E848" s="670"/>
      <c r="F848" s="670"/>
      <c r="G848" s="670"/>
      <c r="H848" s="670"/>
      <c r="I848" s="670"/>
      <c r="J848" s="670"/>
      <c r="K848" s="670"/>
      <c r="L848" s="670"/>
      <c r="M848" s="670"/>
      <c r="N848" s="670"/>
      <c r="O848" s="670"/>
      <c r="P848" s="670"/>
      <c r="Q848" s="670"/>
      <c r="R848" s="670"/>
      <c r="S848" s="670"/>
      <c r="T848" s="670"/>
      <c r="U848" s="670"/>
      <c r="V848" s="670"/>
      <c r="W848" s="670"/>
    </row>
    <row r="849" spans="1:23" ht="12.75" customHeight="1" x14ac:dyDescent="0.25">
      <c r="A849" s="670"/>
      <c r="B849" s="670"/>
      <c r="C849" s="670"/>
      <c r="D849" s="670"/>
      <c r="E849" s="670"/>
      <c r="F849" s="670"/>
      <c r="G849" s="670"/>
      <c r="H849" s="670"/>
      <c r="I849" s="670"/>
      <c r="J849" s="670"/>
      <c r="K849" s="670"/>
      <c r="L849" s="670"/>
      <c r="M849" s="670"/>
      <c r="N849" s="670"/>
      <c r="O849" s="670"/>
      <c r="P849" s="670"/>
      <c r="Q849" s="670"/>
      <c r="R849" s="670"/>
      <c r="S849" s="670"/>
      <c r="T849" s="670"/>
      <c r="U849" s="670"/>
      <c r="V849" s="670"/>
      <c r="W849" s="670"/>
    </row>
    <row r="850" spans="1:23" ht="12.75" customHeight="1" x14ac:dyDescent="0.25">
      <c r="A850" s="670"/>
      <c r="B850" s="670"/>
      <c r="C850" s="670"/>
      <c r="D850" s="670"/>
      <c r="E850" s="670"/>
      <c r="F850" s="670"/>
      <c r="G850" s="670"/>
      <c r="H850" s="670"/>
      <c r="I850" s="670"/>
      <c r="J850" s="670"/>
      <c r="K850" s="670"/>
      <c r="L850" s="670"/>
      <c r="M850" s="670"/>
      <c r="N850" s="670"/>
      <c r="O850" s="670"/>
      <c r="P850" s="670"/>
      <c r="Q850" s="670"/>
      <c r="R850" s="670"/>
      <c r="S850" s="670"/>
      <c r="T850" s="670"/>
      <c r="U850" s="670"/>
      <c r="V850" s="670"/>
      <c r="W850" s="670"/>
    </row>
    <row r="851" spans="1:23" ht="12.75" customHeight="1" x14ac:dyDescent="0.25">
      <c r="A851" s="670"/>
      <c r="B851" s="670"/>
      <c r="C851" s="670"/>
      <c r="D851" s="670"/>
      <c r="E851" s="670"/>
      <c r="F851" s="670"/>
      <c r="G851" s="670"/>
      <c r="H851" s="670"/>
      <c r="I851" s="670"/>
      <c r="J851" s="670"/>
      <c r="K851" s="670"/>
      <c r="L851" s="670"/>
      <c r="M851" s="670"/>
      <c r="N851" s="670"/>
      <c r="O851" s="670"/>
      <c r="P851" s="670"/>
      <c r="Q851" s="670"/>
      <c r="R851" s="670"/>
      <c r="S851" s="670"/>
      <c r="T851" s="670"/>
      <c r="U851" s="670"/>
      <c r="V851" s="670"/>
      <c r="W851" s="670"/>
    </row>
    <row r="852" spans="1:23" ht="12.75" customHeight="1" x14ac:dyDescent="0.25">
      <c r="A852" s="670"/>
      <c r="B852" s="670"/>
      <c r="C852" s="670"/>
      <c r="D852" s="670"/>
      <c r="E852" s="670"/>
      <c r="F852" s="670"/>
      <c r="G852" s="670"/>
      <c r="H852" s="670"/>
      <c r="I852" s="670"/>
      <c r="J852" s="670"/>
      <c r="K852" s="670"/>
      <c r="L852" s="670"/>
      <c r="M852" s="670"/>
      <c r="N852" s="670"/>
      <c r="O852" s="670"/>
      <c r="P852" s="670"/>
      <c r="Q852" s="670"/>
      <c r="R852" s="670"/>
      <c r="S852" s="670"/>
      <c r="T852" s="670"/>
      <c r="U852" s="670"/>
      <c r="V852" s="670"/>
      <c r="W852" s="670"/>
    </row>
    <row r="853" spans="1:23" ht="12.75" customHeight="1" x14ac:dyDescent="0.25">
      <c r="A853" s="670"/>
      <c r="B853" s="670"/>
      <c r="C853" s="670"/>
      <c r="D853" s="670"/>
      <c r="E853" s="670"/>
      <c r="F853" s="670"/>
      <c r="G853" s="670"/>
      <c r="H853" s="670"/>
      <c r="I853" s="670"/>
      <c r="J853" s="670"/>
      <c r="K853" s="670"/>
      <c r="L853" s="670"/>
      <c r="M853" s="670"/>
      <c r="N853" s="670"/>
      <c r="O853" s="670"/>
      <c r="P853" s="670"/>
      <c r="Q853" s="670"/>
      <c r="R853" s="670"/>
      <c r="S853" s="670"/>
      <c r="T853" s="670"/>
      <c r="U853" s="670"/>
      <c r="V853" s="670"/>
      <c r="W853" s="670"/>
    </row>
    <row r="854" spans="1:23" ht="12.75" customHeight="1" x14ac:dyDescent="0.25">
      <c r="A854" s="670"/>
      <c r="B854" s="670"/>
      <c r="C854" s="670"/>
      <c r="D854" s="670"/>
      <c r="E854" s="670"/>
      <c r="F854" s="670"/>
      <c r="G854" s="670"/>
      <c r="H854" s="670"/>
      <c r="I854" s="670"/>
      <c r="J854" s="670"/>
      <c r="K854" s="670"/>
      <c r="L854" s="670"/>
      <c r="M854" s="670"/>
      <c r="N854" s="670"/>
      <c r="O854" s="670"/>
      <c r="P854" s="670"/>
      <c r="Q854" s="670"/>
      <c r="R854" s="670"/>
      <c r="S854" s="670"/>
      <c r="T854" s="670"/>
      <c r="U854" s="670"/>
      <c r="V854" s="670"/>
      <c r="W854" s="670"/>
    </row>
    <row r="855" spans="1:23" ht="12.75" customHeight="1" x14ac:dyDescent="0.25">
      <c r="A855" s="670"/>
      <c r="B855" s="670"/>
      <c r="C855" s="670"/>
      <c r="D855" s="670"/>
      <c r="E855" s="670"/>
      <c r="F855" s="670"/>
      <c r="G855" s="670"/>
      <c r="H855" s="670"/>
      <c r="I855" s="670"/>
      <c r="J855" s="670"/>
      <c r="K855" s="670"/>
      <c r="L855" s="670"/>
      <c r="M855" s="670"/>
      <c r="N855" s="670"/>
      <c r="O855" s="670"/>
      <c r="P855" s="670"/>
      <c r="Q855" s="670"/>
      <c r="R855" s="670"/>
      <c r="S855" s="670"/>
      <c r="T855" s="670"/>
      <c r="U855" s="670"/>
      <c r="V855" s="670"/>
      <c r="W855" s="670"/>
    </row>
    <row r="856" spans="1:23" ht="12.75" customHeight="1" x14ac:dyDescent="0.25">
      <c r="A856" s="670"/>
      <c r="B856" s="670"/>
      <c r="C856" s="670"/>
      <c r="D856" s="670"/>
      <c r="E856" s="670"/>
      <c r="F856" s="670"/>
      <c r="G856" s="670"/>
      <c r="H856" s="670"/>
      <c r="I856" s="670"/>
      <c r="J856" s="670"/>
      <c r="K856" s="670"/>
      <c r="L856" s="670"/>
      <c r="M856" s="670"/>
      <c r="N856" s="670"/>
      <c r="O856" s="670"/>
      <c r="P856" s="670"/>
      <c r="Q856" s="670"/>
      <c r="R856" s="670"/>
      <c r="S856" s="670"/>
      <c r="T856" s="670"/>
      <c r="U856" s="670"/>
      <c r="V856" s="670"/>
      <c r="W856" s="670"/>
    </row>
    <row r="857" spans="1:23" ht="12.75" customHeight="1" x14ac:dyDescent="0.25">
      <c r="A857" s="670"/>
      <c r="B857" s="670"/>
      <c r="C857" s="670"/>
      <c r="D857" s="670"/>
      <c r="E857" s="670"/>
      <c r="F857" s="670"/>
      <c r="G857" s="670"/>
      <c r="H857" s="670"/>
      <c r="I857" s="670"/>
      <c r="J857" s="670"/>
      <c r="K857" s="670"/>
      <c r="L857" s="670"/>
      <c r="M857" s="670"/>
      <c r="N857" s="670"/>
      <c r="O857" s="670"/>
      <c r="P857" s="670"/>
      <c r="Q857" s="670"/>
      <c r="R857" s="670"/>
      <c r="S857" s="670"/>
      <c r="T857" s="670"/>
      <c r="U857" s="670"/>
      <c r="V857" s="670"/>
      <c r="W857" s="670"/>
    </row>
    <row r="858" spans="1:23" ht="12.75" customHeight="1" x14ac:dyDescent="0.25">
      <c r="A858" s="670"/>
      <c r="B858" s="670"/>
      <c r="C858" s="670"/>
      <c r="D858" s="670"/>
      <c r="E858" s="670"/>
      <c r="F858" s="670"/>
      <c r="G858" s="670"/>
      <c r="H858" s="670"/>
      <c r="I858" s="670"/>
      <c r="J858" s="670"/>
      <c r="K858" s="670"/>
      <c r="L858" s="670"/>
      <c r="M858" s="670"/>
      <c r="N858" s="670"/>
      <c r="O858" s="670"/>
      <c r="P858" s="670"/>
      <c r="Q858" s="670"/>
      <c r="R858" s="670"/>
      <c r="S858" s="670"/>
      <c r="T858" s="670"/>
      <c r="U858" s="670"/>
      <c r="V858" s="670"/>
      <c r="W858" s="670"/>
    </row>
    <row r="859" spans="1:23" ht="12.75" customHeight="1" x14ac:dyDescent="0.25">
      <c r="A859" s="670"/>
      <c r="B859" s="670"/>
      <c r="C859" s="670"/>
      <c r="D859" s="670"/>
      <c r="E859" s="670"/>
      <c r="F859" s="670"/>
      <c r="G859" s="670"/>
      <c r="H859" s="670"/>
      <c r="I859" s="670"/>
      <c r="J859" s="670"/>
      <c r="K859" s="670"/>
      <c r="L859" s="670"/>
      <c r="M859" s="670"/>
      <c r="N859" s="670"/>
      <c r="O859" s="670"/>
      <c r="P859" s="670"/>
      <c r="Q859" s="670"/>
      <c r="R859" s="670"/>
      <c r="S859" s="670"/>
      <c r="T859" s="670"/>
      <c r="U859" s="670"/>
      <c r="V859" s="670"/>
      <c r="W859" s="670"/>
    </row>
    <row r="860" spans="1:23" ht="12.75" customHeight="1" x14ac:dyDescent="0.25">
      <c r="A860" s="670"/>
      <c r="B860" s="670"/>
      <c r="C860" s="670"/>
      <c r="D860" s="670"/>
      <c r="E860" s="670"/>
      <c r="F860" s="670"/>
      <c r="G860" s="670"/>
      <c r="H860" s="670"/>
      <c r="I860" s="670"/>
      <c r="J860" s="670"/>
      <c r="K860" s="670"/>
      <c r="L860" s="670"/>
      <c r="M860" s="670"/>
      <c r="N860" s="670"/>
      <c r="O860" s="670"/>
      <c r="P860" s="670"/>
      <c r="Q860" s="670"/>
      <c r="R860" s="670"/>
      <c r="S860" s="670"/>
      <c r="T860" s="670"/>
      <c r="U860" s="670"/>
      <c r="V860" s="670"/>
      <c r="W860" s="670"/>
    </row>
    <row r="861" spans="1:23" ht="12.75" customHeight="1" x14ac:dyDescent="0.25">
      <c r="A861" s="670"/>
      <c r="B861" s="670"/>
      <c r="C861" s="670"/>
      <c r="D861" s="670"/>
      <c r="E861" s="670"/>
      <c r="F861" s="670"/>
      <c r="G861" s="670"/>
      <c r="H861" s="670"/>
      <c r="I861" s="670"/>
      <c r="J861" s="670"/>
      <c r="K861" s="670"/>
      <c r="L861" s="670"/>
      <c r="M861" s="670"/>
      <c r="N861" s="670"/>
      <c r="O861" s="670"/>
      <c r="P861" s="670"/>
      <c r="Q861" s="670"/>
      <c r="R861" s="670"/>
      <c r="S861" s="670"/>
      <c r="T861" s="670"/>
      <c r="U861" s="670"/>
      <c r="V861" s="670"/>
      <c r="W861" s="670"/>
    </row>
    <row r="862" spans="1:23" ht="12.75" customHeight="1" x14ac:dyDescent="0.25">
      <c r="A862" s="670"/>
      <c r="B862" s="670"/>
      <c r="C862" s="670"/>
      <c r="D862" s="670"/>
      <c r="E862" s="670"/>
      <c r="F862" s="670"/>
      <c r="G862" s="670"/>
      <c r="H862" s="670"/>
      <c r="I862" s="670"/>
      <c r="J862" s="670"/>
      <c r="K862" s="670"/>
      <c r="L862" s="670"/>
      <c r="M862" s="670"/>
      <c r="N862" s="670"/>
      <c r="O862" s="670"/>
      <c r="P862" s="670"/>
      <c r="Q862" s="670"/>
      <c r="R862" s="670"/>
      <c r="S862" s="670"/>
      <c r="T862" s="670"/>
      <c r="U862" s="670"/>
      <c r="V862" s="670"/>
      <c r="W862" s="670"/>
    </row>
    <row r="863" spans="1:23" ht="12.75" customHeight="1" x14ac:dyDescent="0.25">
      <c r="A863" s="670"/>
      <c r="B863" s="670"/>
      <c r="C863" s="670"/>
      <c r="D863" s="670"/>
      <c r="E863" s="670"/>
      <c r="F863" s="670"/>
      <c r="G863" s="670"/>
      <c r="H863" s="670"/>
      <c r="I863" s="670"/>
      <c r="J863" s="670"/>
      <c r="K863" s="670"/>
      <c r="L863" s="670"/>
      <c r="M863" s="670"/>
      <c r="N863" s="670"/>
      <c r="O863" s="670"/>
      <c r="P863" s="670"/>
      <c r="Q863" s="670"/>
      <c r="R863" s="670"/>
      <c r="S863" s="670"/>
      <c r="T863" s="670"/>
      <c r="U863" s="670"/>
      <c r="V863" s="670"/>
      <c r="W863" s="670"/>
    </row>
    <row r="864" spans="1:23" ht="12.75" customHeight="1" x14ac:dyDescent="0.25">
      <c r="A864" s="670"/>
      <c r="B864" s="670"/>
      <c r="C864" s="670"/>
      <c r="D864" s="670"/>
      <c r="E864" s="670"/>
      <c r="F864" s="670"/>
      <c r="G864" s="670"/>
      <c r="H864" s="670"/>
      <c r="I864" s="670"/>
      <c r="J864" s="670"/>
      <c r="K864" s="670"/>
      <c r="L864" s="670"/>
      <c r="M864" s="670"/>
      <c r="N864" s="670"/>
      <c r="O864" s="670"/>
      <c r="P864" s="670"/>
      <c r="Q864" s="670"/>
      <c r="R864" s="670"/>
      <c r="S864" s="670"/>
      <c r="T864" s="670"/>
      <c r="U864" s="670"/>
      <c r="V864" s="670"/>
      <c r="W864" s="670"/>
    </row>
    <row r="865" spans="1:23" ht="12.75" customHeight="1" x14ac:dyDescent="0.25">
      <c r="A865" s="670"/>
      <c r="B865" s="670"/>
      <c r="C865" s="670"/>
      <c r="D865" s="670"/>
      <c r="E865" s="670"/>
      <c r="F865" s="670"/>
      <c r="G865" s="670"/>
      <c r="H865" s="670"/>
      <c r="I865" s="670"/>
      <c r="J865" s="670"/>
      <c r="K865" s="670"/>
      <c r="L865" s="670"/>
      <c r="M865" s="670"/>
      <c r="N865" s="670"/>
      <c r="O865" s="670"/>
      <c r="P865" s="670"/>
      <c r="Q865" s="670"/>
      <c r="R865" s="670"/>
      <c r="S865" s="670"/>
      <c r="T865" s="670"/>
      <c r="U865" s="670"/>
      <c r="V865" s="670"/>
      <c r="W865" s="670"/>
    </row>
    <row r="866" spans="1:23" ht="12.75" customHeight="1" x14ac:dyDescent="0.25">
      <c r="A866" s="670"/>
      <c r="B866" s="670"/>
      <c r="C866" s="670"/>
      <c r="D866" s="670"/>
      <c r="E866" s="670"/>
      <c r="F866" s="670"/>
      <c r="G866" s="670"/>
      <c r="H866" s="670"/>
      <c r="I866" s="670"/>
      <c r="J866" s="670"/>
      <c r="K866" s="670"/>
      <c r="L866" s="670"/>
      <c r="M866" s="670"/>
      <c r="N866" s="670"/>
      <c r="O866" s="670"/>
      <c r="P866" s="670"/>
      <c r="Q866" s="670"/>
      <c r="R866" s="670"/>
      <c r="S866" s="670"/>
      <c r="T866" s="670"/>
      <c r="U866" s="670"/>
      <c r="V866" s="670"/>
      <c r="W866" s="670"/>
    </row>
    <row r="867" spans="1:23" ht="12.75" customHeight="1" x14ac:dyDescent="0.25">
      <c r="A867" s="670"/>
      <c r="B867" s="670"/>
      <c r="C867" s="670"/>
      <c r="D867" s="670"/>
      <c r="E867" s="670"/>
      <c r="F867" s="670"/>
      <c r="G867" s="670"/>
      <c r="H867" s="670"/>
      <c r="I867" s="670"/>
      <c r="J867" s="670"/>
      <c r="K867" s="670"/>
      <c r="L867" s="670"/>
      <c r="M867" s="670"/>
      <c r="N867" s="670"/>
      <c r="O867" s="670"/>
      <c r="P867" s="670"/>
      <c r="Q867" s="670"/>
      <c r="R867" s="670"/>
      <c r="S867" s="670"/>
      <c r="T867" s="670"/>
      <c r="U867" s="670"/>
      <c r="V867" s="670"/>
      <c r="W867" s="670"/>
    </row>
    <row r="868" spans="1:23" ht="12.75" customHeight="1" x14ac:dyDescent="0.25">
      <c r="A868" s="670"/>
      <c r="B868" s="670"/>
      <c r="C868" s="670"/>
      <c r="D868" s="670"/>
      <c r="E868" s="670"/>
      <c r="F868" s="670"/>
      <c r="G868" s="670"/>
      <c r="H868" s="670"/>
      <c r="I868" s="670"/>
      <c r="J868" s="670"/>
      <c r="K868" s="670"/>
      <c r="L868" s="670"/>
      <c r="M868" s="670"/>
      <c r="N868" s="670"/>
      <c r="O868" s="670"/>
      <c r="P868" s="670"/>
      <c r="Q868" s="670"/>
      <c r="R868" s="670"/>
      <c r="S868" s="670"/>
      <c r="T868" s="670"/>
      <c r="U868" s="670"/>
      <c r="V868" s="670"/>
      <c r="W868" s="670"/>
    </row>
    <row r="869" spans="1:23" ht="12.75" customHeight="1" x14ac:dyDescent="0.25">
      <c r="A869" s="670"/>
      <c r="B869" s="670"/>
      <c r="C869" s="670"/>
      <c r="D869" s="670"/>
      <c r="E869" s="670"/>
      <c r="F869" s="670"/>
      <c r="G869" s="670"/>
      <c r="H869" s="670"/>
      <c r="I869" s="670"/>
      <c r="J869" s="670"/>
      <c r="K869" s="670"/>
      <c r="L869" s="670"/>
      <c r="M869" s="670"/>
      <c r="N869" s="670"/>
      <c r="O869" s="670"/>
      <c r="P869" s="670"/>
      <c r="Q869" s="670"/>
      <c r="R869" s="670"/>
      <c r="S869" s="670"/>
      <c r="T869" s="670"/>
      <c r="U869" s="670"/>
      <c r="V869" s="670"/>
      <c r="W869" s="670"/>
    </row>
    <row r="870" spans="1:23" ht="12.75" customHeight="1" x14ac:dyDescent="0.25">
      <c r="A870" s="670"/>
      <c r="B870" s="670"/>
      <c r="C870" s="670"/>
      <c r="D870" s="670"/>
      <c r="E870" s="670"/>
      <c r="F870" s="670"/>
      <c r="G870" s="670"/>
      <c r="H870" s="670"/>
      <c r="I870" s="670"/>
      <c r="J870" s="670"/>
      <c r="K870" s="670"/>
      <c r="L870" s="670"/>
      <c r="M870" s="670"/>
      <c r="N870" s="670"/>
      <c r="O870" s="670"/>
      <c r="P870" s="670"/>
      <c r="Q870" s="670"/>
      <c r="R870" s="670"/>
      <c r="S870" s="670"/>
      <c r="T870" s="670"/>
      <c r="U870" s="670"/>
      <c r="V870" s="670"/>
      <c r="W870" s="670"/>
    </row>
    <row r="871" spans="1:23" ht="12.75" customHeight="1" x14ac:dyDescent="0.25">
      <c r="A871" s="670"/>
      <c r="B871" s="670"/>
      <c r="C871" s="670"/>
      <c r="D871" s="670"/>
      <c r="E871" s="670"/>
      <c r="F871" s="670"/>
      <c r="G871" s="670"/>
      <c r="H871" s="670"/>
      <c r="I871" s="670"/>
      <c r="J871" s="670"/>
      <c r="K871" s="670"/>
      <c r="L871" s="670"/>
      <c r="M871" s="670"/>
      <c r="N871" s="670"/>
      <c r="O871" s="670"/>
      <c r="P871" s="670"/>
      <c r="Q871" s="670"/>
      <c r="R871" s="670"/>
      <c r="S871" s="670"/>
      <c r="T871" s="670"/>
      <c r="U871" s="670"/>
      <c r="V871" s="670"/>
      <c r="W871" s="670"/>
    </row>
    <row r="872" spans="1:23" ht="12.75" customHeight="1" x14ac:dyDescent="0.25">
      <c r="A872" s="670"/>
      <c r="B872" s="670"/>
      <c r="C872" s="670"/>
      <c r="D872" s="670"/>
      <c r="E872" s="670"/>
      <c r="F872" s="670"/>
      <c r="G872" s="670"/>
      <c r="H872" s="670"/>
      <c r="I872" s="670"/>
      <c r="J872" s="670"/>
      <c r="K872" s="670"/>
      <c r="L872" s="670"/>
      <c r="M872" s="670"/>
      <c r="N872" s="670"/>
      <c r="O872" s="670"/>
      <c r="P872" s="670"/>
      <c r="Q872" s="670"/>
      <c r="R872" s="670"/>
      <c r="S872" s="670"/>
      <c r="T872" s="670"/>
      <c r="U872" s="670"/>
      <c r="V872" s="670"/>
      <c r="W872" s="670"/>
    </row>
    <row r="873" spans="1:23" ht="12.75" customHeight="1" x14ac:dyDescent="0.25">
      <c r="A873" s="670"/>
      <c r="B873" s="670"/>
      <c r="C873" s="670"/>
      <c r="D873" s="670"/>
      <c r="E873" s="670"/>
      <c r="F873" s="670"/>
      <c r="G873" s="670"/>
      <c r="H873" s="670"/>
      <c r="I873" s="670"/>
      <c r="J873" s="670"/>
      <c r="K873" s="670"/>
      <c r="L873" s="670"/>
      <c r="M873" s="670"/>
      <c r="N873" s="670"/>
      <c r="O873" s="670"/>
      <c r="P873" s="670"/>
      <c r="Q873" s="670"/>
      <c r="R873" s="670"/>
      <c r="S873" s="670"/>
      <c r="T873" s="670"/>
      <c r="U873" s="670"/>
      <c r="V873" s="670"/>
      <c r="W873" s="670"/>
    </row>
    <row r="874" spans="1:23" ht="12.75" customHeight="1" x14ac:dyDescent="0.25">
      <c r="A874" s="670"/>
      <c r="B874" s="670"/>
      <c r="C874" s="670"/>
      <c r="D874" s="670"/>
      <c r="E874" s="670"/>
      <c r="F874" s="670"/>
      <c r="G874" s="670"/>
      <c r="H874" s="670"/>
      <c r="I874" s="670"/>
      <c r="J874" s="670"/>
      <c r="K874" s="670"/>
      <c r="L874" s="670"/>
      <c r="M874" s="670"/>
      <c r="N874" s="670"/>
      <c r="O874" s="670"/>
      <c r="P874" s="670"/>
      <c r="Q874" s="670"/>
      <c r="R874" s="670"/>
      <c r="S874" s="670"/>
      <c r="T874" s="670"/>
      <c r="U874" s="670"/>
      <c r="V874" s="670"/>
      <c r="W874" s="670"/>
    </row>
    <row r="875" spans="1:23" ht="12.75" customHeight="1" x14ac:dyDescent="0.25">
      <c r="A875" s="670"/>
      <c r="B875" s="670"/>
      <c r="C875" s="670"/>
      <c r="D875" s="670"/>
      <c r="E875" s="670"/>
      <c r="F875" s="670"/>
      <c r="G875" s="670"/>
      <c r="H875" s="670"/>
      <c r="I875" s="670"/>
      <c r="J875" s="670"/>
      <c r="K875" s="670"/>
      <c r="L875" s="670"/>
      <c r="M875" s="670"/>
      <c r="N875" s="670"/>
      <c r="O875" s="670"/>
      <c r="P875" s="670"/>
      <c r="Q875" s="670"/>
      <c r="R875" s="670"/>
      <c r="S875" s="670"/>
      <c r="T875" s="670"/>
      <c r="U875" s="670"/>
      <c r="V875" s="670"/>
      <c r="W875" s="670"/>
    </row>
    <row r="876" spans="1:23" ht="12.75" customHeight="1" x14ac:dyDescent="0.25">
      <c r="A876" s="670"/>
      <c r="B876" s="670"/>
      <c r="C876" s="670"/>
      <c r="D876" s="670"/>
      <c r="E876" s="670"/>
      <c r="F876" s="670"/>
      <c r="G876" s="670"/>
      <c r="H876" s="670"/>
      <c r="I876" s="670"/>
      <c r="J876" s="670"/>
      <c r="K876" s="670"/>
      <c r="L876" s="670"/>
      <c r="M876" s="670"/>
      <c r="N876" s="670"/>
      <c r="O876" s="670"/>
      <c r="P876" s="670"/>
      <c r="Q876" s="670"/>
      <c r="R876" s="670"/>
      <c r="S876" s="670"/>
      <c r="T876" s="670"/>
      <c r="U876" s="670"/>
      <c r="V876" s="670"/>
      <c r="W876" s="670"/>
    </row>
    <row r="877" spans="1:23" ht="12.75" customHeight="1" x14ac:dyDescent="0.25">
      <c r="A877" s="670"/>
      <c r="B877" s="670"/>
      <c r="C877" s="670"/>
      <c r="D877" s="670"/>
      <c r="E877" s="670"/>
      <c r="F877" s="670"/>
      <c r="G877" s="670"/>
      <c r="H877" s="670"/>
      <c r="I877" s="670"/>
      <c r="J877" s="670"/>
      <c r="K877" s="670"/>
      <c r="L877" s="670"/>
      <c r="M877" s="670"/>
      <c r="N877" s="670"/>
      <c r="O877" s="670"/>
      <c r="P877" s="670"/>
      <c r="Q877" s="670"/>
      <c r="R877" s="670"/>
      <c r="S877" s="670"/>
      <c r="T877" s="670"/>
      <c r="U877" s="670"/>
      <c r="V877" s="670"/>
      <c r="W877" s="670"/>
    </row>
    <row r="878" spans="1:23" ht="12.75" customHeight="1" x14ac:dyDescent="0.25">
      <c r="A878" s="670"/>
      <c r="B878" s="670"/>
      <c r="C878" s="670"/>
      <c r="D878" s="670"/>
      <c r="E878" s="670"/>
      <c r="F878" s="670"/>
      <c r="G878" s="670"/>
      <c r="H878" s="670"/>
      <c r="I878" s="670"/>
      <c r="J878" s="670"/>
      <c r="K878" s="670"/>
      <c r="L878" s="670"/>
      <c r="M878" s="670"/>
      <c r="N878" s="670"/>
      <c r="O878" s="670"/>
      <c r="P878" s="670"/>
      <c r="Q878" s="670"/>
      <c r="R878" s="670"/>
      <c r="S878" s="670"/>
      <c r="T878" s="670"/>
      <c r="U878" s="670"/>
      <c r="V878" s="670"/>
      <c r="W878" s="670"/>
    </row>
    <row r="879" spans="1:23" ht="12.75" customHeight="1" x14ac:dyDescent="0.25">
      <c r="A879" s="670"/>
      <c r="B879" s="670"/>
      <c r="C879" s="670"/>
      <c r="D879" s="670"/>
      <c r="E879" s="670"/>
      <c r="F879" s="670"/>
      <c r="G879" s="670"/>
      <c r="H879" s="670"/>
      <c r="I879" s="670"/>
      <c r="J879" s="670"/>
      <c r="K879" s="670"/>
      <c r="L879" s="670"/>
      <c r="M879" s="670"/>
      <c r="N879" s="670"/>
      <c r="O879" s="670"/>
      <c r="P879" s="670"/>
      <c r="Q879" s="670"/>
      <c r="R879" s="670"/>
      <c r="S879" s="670"/>
      <c r="T879" s="670"/>
      <c r="U879" s="670"/>
      <c r="V879" s="670"/>
      <c r="W879" s="670"/>
    </row>
    <row r="880" spans="1:23" ht="12.75" customHeight="1" x14ac:dyDescent="0.25">
      <c r="A880" s="670"/>
      <c r="B880" s="670"/>
      <c r="C880" s="670"/>
      <c r="D880" s="670"/>
      <c r="E880" s="670"/>
      <c r="F880" s="670"/>
      <c r="G880" s="670"/>
      <c r="H880" s="670"/>
      <c r="I880" s="670"/>
      <c r="J880" s="670"/>
      <c r="K880" s="670"/>
      <c r="L880" s="670"/>
      <c r="M880" s="670"/>
      <c r="N880" s="670"/>
      <c r="O880" s="670"/>
      <c r="P880" s="670"/>
      <c r="Q880" s="670"/>
      <c r="R880" s="670"/>
      <c r="S880" s="670"/>
      <c r="T880" s="670"/>
      <c r="U880" s="670"/>
      <c r="V880" s="670"/>
      <c r="W880" s="670"/>
    </row>
    <row r="881" spans="1:23" ht="12.75" customHeight="1" x14ac:dyDescent="0.25">
      <c r="A881" s="670"/>
      <c r="B881" s="670"/>
      <c r="C881" s="670"/>
      <c r="D881" s="670"/>
      <c r="E881" s="670"/>
      <c r="F881" s="670"/>
      <c r="G881" s="670"/>
      <c r="H881" s="670"/>
      <c r="I881" s="670"/>
      <c r="J881" s="670"/>
      <c r="K881" s="670"/>
      <c r="L881" s="670"/>
      <c r="M881" s="670"/>
      <c r="N881" s="670"/>
      <c r="O881" s="670"/>
      <c r="P881" s="670"/>
      <c r="Q881" s="670"/>
      <c r="R881" s="670"/>
      <c r="S881" s="670"/>
      <c r="T881" s="670"/>
      <c r="U881" s="670"/>
      <c r="V881" s="670"/>
      <c r="W881" s="670"/>
    </row>
    <row r="882" spans="1:23" ht="12.75" customHeight="1" x14ac:dyDescent="0.25">
      <c r="A882" s="670"/>
      <c r="B882" s="670"/>
      <c r="C882" s="670"/>
      <c r="D882" s="670"/>
      <c r="E882" s="670"/>
      <c r="F882" s="670"/>
      <c r="G882" s="670"/>
      <c r="H882" s="670"/>
      <c r="I882" s="670"/>
      <c r="J882" s="670"/>
      <c r="K882" s="670"/>
      <c r="L882" s="670"/>
      <c r="M882" s="670"/>
      <c r="N882" s="670"/>
      <c r="O882" s="670"/>
      <c r="P882" s="670"/>
      <c r="Q882" s="670"/>
      <c r="R882" s="670"/>
      <c r="S882" s="670"/>
      <c r="T882" s="670"/>
      <c r="U882" s="670"/>
      <c r="V882" s="670"/>
      <c r="W882" s="670"/>
    </row>
    <row r="883" spans="1:23" ht="12.75" customHeight="1" x14ac:dyDescent="0.25">
      <c r="A883" s="670"/>
      <c r="B883" s="670"/>
      <c r="C883" s="670"/>
      <c r="D883" s="670"/>
      <c r="E883" s="670"/>
      <c r="F883" s="670"/>
      <c r="G883" s="670"/>
      <c r="H883" s="670"/>
      <c r="I883" s="670"/>
      <c r="J883" s="670"/>
      <c r="K883" s="670"/>
      <c r="L883" s="670"/>
      <c r="M883" s="670"/>
      <c r="N883" s="670"/>
      <c r="O883" s="670"/>
      <c r="P883" s="670"/>
      <c r="Q883" s="670"/>
      <c r="R883" s="670"/>
      <c r="S883" s="670"/>
      <c r="T883" s="670"/>
      <c r="U883" s="670"/>
      <c r="V883" s="670"/>
      <c r="W883" s="670"/>
    </row>
    <row r="884" spans="1:23" ht="12.75" customHeight="1" x14ac:dyDescent="0.25">
      <c r="A884" s="670"/>
      <c r="B884" s="670"/>
      <c r="C884" s="670"/>
      <c r="D884" s="670"/>
      <c r="E884" s="670"/>
      <c r="F884" s="670"/>
      <c r="G884" s="670"/>
      <c r="H884" s="670"/>
      <c r="I884" s="670"/>
      <c r="J884" s="670"/>
      <c r="K884" s="670"/>
      <c r="L884" s="670"/>
      <c r="M884" s="670"/>
      <c r="N884" s="670"/>
      <c r="O884" s="670"/>
      <c r="P884" s="670"/>
      <c r="Q884" s="670"/>
      <c r="R884" s="670"/>
      <c r="S884" s="670"/>
      <c r="T884" s="670"/>
      <c r="U884" s="670"/>
      <c r="V884" s="670"/>
      <c r="W884" s="670"/>
    </row>
    <row r="885" spans="1:23" ht="12.75" customHeight="1" x14ac:dyDescent="0.25">
      <c r="A885" s="670"/>
      <c r="B885" s="670"/>
      <c r="C885" s="670"/>
      <c r="D885" s="670"/>
      <c r="E885" s="670"/>
      <c r="F885" s="670"/>
      <c r="G885" s="670"/>
      <c r="H885" s="670"/>
      <c r="I885" s="670"/>
      <c r="J885" s="670"/>
      <c r="K885" s="670"/>
      <c r="L885" s="670"/>
      <c r="M885" s="670"/>
      <c r="N885" s="670"/>
      <c r="O885" s="670"/>
      <c r="P885" s="670"/>
      <c r="Q885" s="670"/>
      <c r="R885" s="670"/>
      <c r="S885" s="670"/>
      <c r="T885" s="670"/>
      <c r="U885" s="670"/>
      <c r="V885" s="670"/>
      <c r="W885" s="670"/>
    </row>
    <row r="886" spans="1:23" ht="12.75" customHeight="1" x14ac:dyDescent="0.25">
      <c r="A886" s="670"/>
      <c r="B886" s="670"/>
      <c r="C886" s="670"/>
      <c r="D886" s="670"/>
      <c r="E886" s="670"/>
      <c r="F886" s="670"/>
      <c r="G886" s="670"/>
      <c r="H886" s="670"/>
      <c r="I886" s="670"/>
      <c r="J886" s="670"/>
      <c r="K886" s="670"/>
      <c r="L886" s="670"/>
      <c r="M886" s="670"/>
      <c r="N886" s="670"/>
      <c r="O886" s="670"/>
      <c r="P886" s="670"/>
      <c r="Q886" s="670"/>
      <c r="R886" s="670"/>
      <c r="S886" s="670"/>
      <c r="T886" s="670"/>
      <c r="U886" s="670"/>
      <c r="V886" s="670"/>
      <c r="W886" s="670"/>
    </row>
    <row r="887" spans="1:23" ht="12.75" customHeight="1" x14ac:dyDescent="0.25">
      <c r="A887" s="670"/>
      <c r="B887" s="670"/>
      <c r="C887" s="670"/>
      <c r="D887" s="670"/>
      <c r="E887" s="670"/>
      <c r="F887" s="670"/>
      <c r="G887" s="670"/>
      <c r="H887" s="670"/>
      <c r="I887" s="670"/>
      <c r="J887" s="670"/>
      <c r="K887" s="670"/>
      <c r="L887" s="670"/>
      <c r="M887" s="670"/>
      <c r="N887" s="670"/>
      <c r="O887" s="670"/>
      <c r="P887" s="670"/>
      <c r="Q887" s="670"/>
      <c r="R887" s="670"/>
      <c r="S887" s="670"/>
      <c r="T887" s="670"/>
      <c r="U887" s="670"/>
      <c r="V887" s="670"/>
      <c r="W887" s="670"/>
    </row>
    <row r="888" spans="1:23" ht="12.75" customHeight="1" x14ac:dyDescent="0.25">
      <c r="A888" s="670"/>
      <c r="B888" s="670"/>
      <c r="C888" s="670"/>
      <c r="D888" s="670"/>
      <c r="E888" s="670"/>
      <c r="F888" s="670"/>
      <c r="G888" s="670"/>
      <c r="H888" s="670"/>
      <c r="I888" s="670"/>
      <c r="J888" s="670"/>
      <c r="K888" s="670"/>
      <c r="L888" s="670"/>
      <c r="M888" s="670"/>
      <c r="N888" s="670"/>
      <c r="O888" s="670"/>
      <c r="P888" s="670"/>
      <c r="Q888" s="670"/>
      <c r="R888" s="670"/>
      <c r="S888" s="670"/>
      <c r="T888" s="670"/>
      <c r="U888" s="670"/>
      <c r="V888" s="670"/>
      <c r="W888" s="670"/>
    </row>
    <row r="889" spans="1:23" ht="12.75" customHeight="1" x14ac:dyDescent="0.25">
      <c r="A889" s="670"/>
      <c r="B889" s="670"/>
      <c r="C889" s="670"/>
      <c r="D889" s="670"/>
      <c r="E889" s="670"/>
      <c r="F889" s="670"/>
      <c r="G889" s="670"/>
      <c r="H889" s="670"/>
      <c r="I889" s="670"/>
      <c r="J889" s="670"/>
      <c r="K889" s="670"/>
      <c r="L889" s="670"/>
      <c r="M889" s="670"/>
      <c r="N889" s="670"/>
      <c r="O889" s="670"/>
      <c r="P889" s="670"/>
      <c r="Q889" s="670"/>
      <c r="R889" s="670"/>
      <c r="S889" s="670"/>
      <c r="T889" s="670"/>
      <c r="U889" s="670"/>
      <c r="V889" s="670"/>
      <c r="W889" s="670"/>
    </row>
    <row r="890" spans="1:23" ht="12.75" customHeight="1" x14ac:dyDescent="0.25">
      <c r="A890" s="670"/>
      <c r="B890" s="670"/>
      <c r="C890" s="670"/>
      <c r="D890" s="670"/>
      <c r="E890" s="670"/>
      <c r="F890" s="670"/>
      <c r="G890" s="670"/>
      <c r="H890" s="670"/>
      <c r="I890" s="670"/>
      <c r="J890" s="670"/>
      <c r="K890" s="670"/>
      <c r="L890" s="670"/>
      <c r="M890" s="670"/>
      <c r="N890" s="670"/>
      <c r="O890" s="670"/>
      <c r="P890" s="670"/>
      <c r="Q890" s="670"/>
      <c r="R890" s="670"/>
      <c r="S890" s="670"/>
      <c r="T890" s="670"/>
      <c r="U890" s="670"/>
      <c r="V890" s="670"/>
      <c r="W890" s="670"/>
    </row>
    <row r="891" spans="1:23" ht="12.75" customHeight="1" x14ac:dyDescent="0.25">
      <c r="A891" s="670"/>
      <c r="B891" s="670"/>
      <c r="C891" s="670"/>
      <c r="D891" s="670"/>
      <c r="E891" s="670"/>
      <c r="F891" s="670"/>
      <c r="G891" s="670"/>
      <c r="H891" s="670"/>
      <c r="I891" s="670"/>
      <c r="J891" s="670"/>
      <c r="K891" s="670"/>
      <c r="L891" s="670"/>
      <c r="M891" s="670"/>
      <c r="N891" s="670"/>
      <c r="O891" s="670"/>
      <c r="P891" s="670"/>
      <c r="Q891" s="670"/>
      <c r="R891" s="670"/>
      <c r="S891" s="670"/>
      <c r="T891" s="670"/>
      <c r="U891" s="670"/>
      <c r="V891" s="670"/>
      <c r="W891" s="670"/>
    </row>
    <row r="892" spans="1:23" ht="12.75" customHeight="1" x14ac:dyDescent="0.25">
      <c r="A892" s="670"/>
      <c r="B892" s="670"/>
      <c r="C892" s="670"/>
      <c r="D892" s="670"/>
      <c r="E892" s="670"/>
      <c r="F892" s="670"/>
      <c r="G892" s="670"/>
      <c r="H892" s="670"/>
      <c r="I892" s="670"/>
      <c r="J892" s="670"/>
      <c r="K892" s="670"/>
      <c r="L892" s="670"/>
      <c r="M892" s="670"/>
      <c r="N892" s="670"/>
      <c r="O892" s="670"/>
      <c r="P892" s="670"/>
      <c r="Q892" s="670"/>
      <c r="R892" s="670"/>
      <c r="S892" s="670"/>
      <c r="T892" s="670"/>
      <c r="U892" s="670"/>
      <c r="V892" s="670"/>
      <c r="W892" s="670"/>
    </row>
    <row r="893" spans="1:23" ht="12.75" customHeight="1" x14ac:dyDescent="0.25">
      <c r="A893" s="670"/>
      <c r="B893" s="670"/>
      <c r="C893" s="670"/>
      <c r="D893" s="670"/>
      <c r="E893" s="670"/>
      <c r="F893" s="670"/>
      <c r="G893" s="670"/>
      <c r="H893" s="670"/>
      <c r="I893" s="670"/>
      <c r="J893" s="670"/>
      <c r="K893" s="670"/>
      <c r="L893" s="670"/>
      <c r="M893" s="670"/>
      <c r="N893" s="670"/>
      <c r="O893" s="670"/>
      <c r="P893" s="670"/>
      <c r="Q893" s="670"/>
      <c r="R893" s="670"/>
      <c r="S893" s="670"/>
      <c r="T893" s="670"/>
      <c r="U893" s="670"/>
      <c r="V893" s="670"/>
      <c r="W893" s="670"/>
    </row>
    <row r="894" spans="1:23" ht="12.75" customHeight="1" x14ac:dyDescent="0.25">
      <c r="A894" s="670"/>
      <c r="B894" s="670"/>
      <c r="C894" s="670"/>
      <c r="D894" s="670"/>
      <c r="E894" s="670"/>
      <c r="F894" s="670"/>
      <c r="G894" s="670"/>
      <c r="H894" s="670"/>
      <c r="I894" s="670"/>
      <c r="J894" s="670"/>
      <c r="K894" s="670"/>
      <c r="L894" s="670"/>
      <c r="M894" s="670"/>
      <c r="N894" s="670"/>
      <c r="O894" s="670"/>
      <c r="P894" s="670"/>
      <c r="Q894" s="670"/>
      <c r="R894" s="670"/>
      <c r="S894" s="670"/>
      <c r="T894" s="670"/>
      <c r="U894" s="670"/>
      <c r="V894" s="670"/>
      <c r="W894" s="670"/>
    </row>
    <row r="895" spans="1:23" ht="12.75" customHeight="1" x14ac:dyDescent="0.25">
      <c r="A895" s="670"/>
      <c r="B895" s="670"/>
      <c r="C895" s="670"/>
      <c r="D895" s="670"/>
      <c r="E895" s="670"/>
      <c r="F895" s="670"/>
      <c r="G895" s="670"/>
      <c r="H895" s="670"/>
      <c r="I895" s="670"/>
      <c r="J895" s="670"/>
      <c r="K895" s="670"/>
      <c r="L895" s="670"/>
      <c r="M895" s="670"/>
      <c r="N895" s="670"/>
      <c r="O895" s="670"/>
      <c r="P895" s="670"/>
      <c r="Q895" s="670"/>
      <c r="R895" s="670"/>
      <c r="S895" s="670"/>
      <c r="T895" s="670"/>
      <c r="U895" s="670"/>
      <c r="V895" s="670"/>
      <c r="W895" s="670"/>
    </row>
    <row r="896" spans="1:23" ht="12.75" customHeight="1" x14ac:dyDescent="0.25">
      <c r="A896" s="670"/>
      <c r="B896" s="670"/>
      <c r="C896" s="670"/>
      <c r="D896" s="670"/>
      <c r="E896" s="670"/>
      <c r="F896" s="670"/>
      <c r="G896" s="670"/>
      <c r="H896" s="670"/>
      <c r="I896" s="670"/>
      <c r="J896" s="670"/>
      <c r="K896" s="670"/>
      <c r="L896" s="670"/>
      <c r="M896" s="670"/>
      <c r="N896" s="670"/>
      <c r="O896" s="670"/>
      <c r="P896" s="670"/>
      <c r="Q896" s="670"/>
      <c r="R896" s="670"/>
      <c r="S896" s="670"/>
      <c r="T896" s="670"/>
      <c r="U896" s="670"/>
      <c r="V896" s="670"/>
      <c r="W896" s="670"/>
    </row>
    <row r="897" spans="1:23" ht="12.75" customHeight="1" x14ac:dyDescent="0.25">
      <c r="A897" s="670"/>
      <c r="B897" s="670"/>
      <c r="C897" s="670"/>
      <c r="D897" s="670"/>
      <c r="E897" s="670"/>
      <c r="F897" s="670"/>
      <c r="G897" s="670"/>
      <c r="H897" s="670"/>
      <c r="I897" s="670"/>
      <c r="J897" s="670"/>
      <c r="K897" s="670"/>
      <c r="L897" s="670"/>
      <c r="M897" s="670"/>
      <c r="N897" s="670"/>
      <c r="O897" s="670"/>
      <c r="P897" s="670"/>
      <c r="Q897" s="670"/>
      <c r="R897" s="670"/>
      <c r="S897" s="670"/>
      <c r="T897" s="670"/>
      <c r="U897" s="670"/>
      <c r="V897" s="670"/>
      <c r="W897" s="670"/>
    </row>
    <row r="898" spans="1:23" ht="12.75" customHeight="1" x14ac:dyDescent="0.25">
      <c r="A898" s="670"/>
      <c r="B898" s="670"/>
      <c r="C898" s="670"/>
      <c r="D898" s="670"/>
      <c r="E898" s="670"/>
      <c r="F898" s="670"/>
      <c r="G898" s="670"/>
      <c r="H898" s="670"/>
      <c r="I898" s="670"/>
      <c r="J898" s="670"/>
      <c r="K898" s="670"/>
      <c r="L898" s="670"/>
      <c r="M898" s="670"/>
      <c r="N898" s="670"/>
      <c r="O898" s="670"/>
      <c r="P898" s="670"/>
      <c r="Q898" s="670"/>
      <c r="R898" s="670"/>
      <c r="S898" s="670"/>
      <c r="T898" s="670"/>
      <c r="U898" s="670"/>
      <c r="V898" s="670"/>
      <c r="W898" s="670"/>
    </row>
    <row r="899" spans="1:23" ht="12.75" customHeight="1" x14ac:dyDescent="0.25">
      <c r="A899" s="670"/>
      <c r="B899" s="670"/>
      <c r="C899" s="670"/>
      <c r="D899" s="670"/>
      <c r="E899" s="670"/>
      <c r="F899" s="670"/>
      <c r="G899" s="670"/>
      <c r="H899" s="670"/>
      <c r="I899" s="670"/>
      <c r="J899" s="670"/>
      <c r="K899" s="670"/>
      <c r="L899" s="670"/>
      <c r="M899" s="670"/>
      <c r="N899" s="670"/>
      <c r="O899" s="670"/>
      <c r="P899" s="670"/>
      <c r="Q899" s="670"/>
      <c r="R899" s="670"/>
      <c r="S899" s="670"/>
      <c r="T899" s="670"/>
      <c r="U899" s="670"/>
      <c r="V899" s="670"/>
      <c r="W899" s="670"/>
    </row>
    <row r="900" spans="1:23" ht="12.75" customHeight="1" x14ac:dyDescent="0.25">
      <c r="A900" s="670"/>
      <c r="B900" s="670"/>
      <c r="C900" s="670"/>
      <c r="D900" s="670"/>
      <c r="E900" s="670"/>
      <c r="F900" s="670"/>
      <c r="G900" s="670"/>
      <c r="H900" s="670"/>
      <c r="I900" s="670"/>
      <c r="J900" s="670"/>
      <c r="K900" s="670"/>
      <c r="L900" s="670"/>
      <c r="M900" s="670"/>
      <c r="N900" s="670"/>
      <c r="O900" s="670"/>
      <c r="P900" s="670"/>
      <c r="Q900" s="670"/>
      <c r="R900" s="670"/>
      <c r="S900" s="670"/>
      <c r="T900" s="670"/>
      <c r="U900" s="670"/>
      <c r="V900" s="670"/>
      <c r="W900" s="670"/>
    </row>
    <row r="901" spans="1:23" ht="12.75" customHeight="1" x14ac:dyDescent="0.25">
      <c r="A901" s="670"/>
      <c r="B901" s="670"/>
      <c r="C901" s="670"/>
      <c r="D901" s="670"/>
      <c r="E901" s="670"/>
      <c r="F901" s="670"/>
      <c r="G901" s="670"/>
      <c r="H901" s="670"/>
      <c r="I901" s="670"/>
      <c r="J901" s="670"/>
      <c r="K901" s="670"/>
      <c r="L901" s="670"/>
      <c r="M901" s="670"/>
      <c r="N901" s="670"/>
      <c r="O901" s="670"/>
      <c r="P901" s="670"/>
      <c r="Q901" s="670"/>
      <c r="R901" s="670"/>
      <c r="S901" s="670"/>
      <c r="T901" s="670"/>
      <c r="U901" s="670"/>
      <c r="V901" s="670"/>
      <c r="W901" s="670"/>
    </row>
    <row r="902" spans="1:23" ht="12.75" customHeight="1" x14ac:dyDescent="0.25">
      <c r="A902" s="670"/>
      <c r="B902" s="670"/>
      <c r="C902" s="670"/>
      <c r="D902" s="670"/>
      <c r="E902" s="670"/>
      <c r="F902" s="670"/>
      <c r="G902" s="670"/>
      <c r="H902" s="670"/>
      <c r="I902" s="670"/>
      <c r="J902" s="670"/>
      <c r="K902" s="670"/>
      <c r="L902" s="670"/>
      <c r="M902" s="670"/>
      <c r="N902" s="670"/>
      <c r="O902" s="670"/>
      <c r="P902" s="670"/>
      <c r="Q902" s="670"/>
      <c r="R902" s="670"/>
      <c r="S902" s="670"/>
      <c r="T902" s="670"/>
      <c r="U902" s="670"/>
      <c r="V902" s="670"/>
      <c r="W902" s="670"/>
    </row>
    <row r="903" spans="1:23" ht="12.75" customHeight="1" x14ac:dyDescent="0.25">
      <c r="A903" s="670"/>
      <c r="B903" s="670"/>
      <c r="C903" s="670"/>
      <c r="D903" s="670"/>
      <c r="E903" s="670"/>
      <c r="F903" s="670"/>
      <c r="G903" s="670"/>
      <c r="H903" s="670"/>
      <c r="I903" s="670"/>
      <c r="J903" s="670"/>
      <c r="K903" s="670"/>
      <c r="L903" s="670"/>
      <c r="M903" s="670"/>
      <c r="N903" s="670"/>
      <c r="O903" s="670"/>
      <c r="P903" s="670"/>
      <c r="Q903" s="670"/>
      <c r="R903" s="670"/>
      <c r="S903" s="670"/>
      <c r="T903" s="670"/>
      <c r="U903" s="670"/>
      <c r="V903" s="670"/>
      <c r="W903" s="670"/>
    </row>
    <row r="904" spans="1:23" ht="12.75" customHeight="1" x14ac:dyDescent="0.25">
      <c r="A904" s="670"/>
      <c r="B904" s="670"/>
      <c r="C904" s="670"/>
      <c r="D904" s="670"/>
      <c r="E904" s="670"/>
      <c r="F904" s="670"/>
      <c r="G904" s="670"/>
      <c r="H904" s="670"/>
      <c r="I904" s="670"/>
      <c r="J904" s="670"/>
      <c r="K904" s="670"/>
      <c r="L904" s="670"/>
      <c r="M904" s="670"/>
      <c r="N904" s="670"/>
      <c r="O904" s="670"/>
      <c r="P904" s="670"/>
      <c r="Q904" s="670"/>
      <c r="R904" s="670"/>
      <c r="S904" s="670"/>
      <c r="T904" s="670"/>
      <c r="U904" s="670"/>
      <c r="V904" s="670"/>
      <c r="W904" s="670"/>
    </row>
    <row r="905" spans="1:23" ht="12.75" customHeight="1" x14ac:dyDescent="0.25">
      <c r="A905" s="670"/>
      <c r="B905" s="670"/>
      <c r="C905" s="670"/>
      <c r="D905" s="670"/>
      <c r="E905" s="670"/>
      <c r="F905" s="670"/>
      <c r="G905" s="670"/>
      <c r="H905" s="670"/>
      <c r="I905" s="670"/>
      <c r="J905" s="670"/>
      <c r="K905" s="670"/>
      <c r="L905" s="670"/>
      <c r="M905" s="670"/>
      <c r="N905" s="670"/>
      <c r="O905" s="670"/>
      <c r="P905" s="670"/>
      <c r="Q905" s="670"/>
      <c r="R905" s="670"/>
      <c r="S905" s="670"/>
      <c r="T905" s="670"/>
      <c r="U905" s="670"/>
      <c r="V905" s="670"/>
      <c r="W905" s="670"/>
    </row>
    <row r="906" spans="1:23" ht="12.75" customHeight="1" x14ac:dyDescent="0.25">
      <c r="A906" s="670"/>
      <c r="B906" s="670"/>
      <c r="C906" s="670"/>
      <c r="D906" s="670"/>
      <c r="E906" s="670"/>
      <c r="F906" s="670"/>
      <c r="G906" s="670"/>
      <c r="H906" s="670"/>
      <c r="I906" s="670"/>
      <c r="J906" s="670"/>
      <c r="K906" s="670"/>
      <c r="L906" s="670"/>
      <c r="M906" s="670"/>
      <c r="N906" s="670"/>
      <c r="O906" s="670"/>
      <c r="P906" s="670"/>
      <c r="Q906" s="670"/>
      <c r="R906" s="670"/>
      <c r="S906" s="670"/>
      <c r="T906" s="670"/>
      <c r="U906" s="670"/>
      <c r="V906" s="670"/>
      <c r="W906" s="670"/>
    </row>
    <row r="907" spans="1:23" ht="12.75" customHeight="1" x14ac:dyDescent="0.25">
      <c r="A907" s="670"/>
      <c r="B907" s="670"/>
      <c r="C907" s="670"/>
      <c r="D907" s="670"/>
      <c r="E907" s="670"/>
      <c r="F907" s="670"/>
      <c r="G907" s="670"/>
      <c r="H907" s="670"/>
      <c r="I907" s="670"/>
      <c r="J907" s="670"/>
      <c r="K907" s="670"/>
      <c r="L907" s="670"/>
      <c r="M907" s="670"/>
      <c r="N907" s="670"/>
      <c r="O907" s="670"/>
      <c r="P907" s="670"/>
      <c r="Q907" s="670"/>
      <c r="R907" s="670"/>
      <c r="S907" s="670"/>
      <c r="T907" s="670"/>
      <c r="U907" s="670"/>
      <c r="V907" s="670"/>
      <c r="W907" s="670"/>
    </row>
    <row r="908" spans="1:23" ht="12.75" customHeight="1" x14ac:dyDescent="0.25">
      <c r="A908" s="670"/>
      <c r="B908" s="670"/>
      <c r="C908" s="670"/>
      <c r="D908" s="670"/>
      <c r="E908" s="670"/>
      <c r="F908" s="670"/>
      <c r="G908" s="670"/>
      <c r="H908" s="670"/>
      <c r="I908" s="670"/>
      <c r="J908" s="670"/>
      <c r="K908" s="670"/>
      <c r="L908" s="670"/>
      <c r="M908" s="670"/>
      <c r="N908" s="670"/>
      <c r="O908" s="670"/>
      <c r="P908" s="670"/>
      <c r="Q908" s="670"/>
      <c r="R908" s="670"/>
      <c r="S908" s="670"/>
      <c r="T908" s="670"/>
      <c r="U908" s="670"/>
      <c r="V908" s="670"/>
      <c r="W908" s="670"/>
    </row>
    <row r="909" spans="1:23" ht="12.75" customHeight="1" x14ac:dyDescent="0.25">
      <c r="A909" s="670"/>
      <c r="B909" s="670"/>
      <c r="C909" s="670"/>
      <c r="D909" s="670"/>
      <c r="E909" s="670"/>
      <c r="F909" s="670"/>
      <c r="G909" s="670"/>
      <c r="H909" s="670"/>
      <c r="I909" s="670"/>
      <c r="J909" s="670"/>
      <c r="K909" s="670"/>
      <c r="L909" s="670"/>
      <c r="M909" s="670"/>
      <c r="N909" s="670"/>
      <c r="O909" s="670"/>
      <c r="P909" s="670"/>
      <c r="Q909" s="670"/>
      <c r="R909" s="670"/>
      <c r="S909" s="670"/>
      <c r="T909" s="670"/>
      <c r="U909" s="670"/>
      <c r="V909" s="670"/>
      <c r="W909" s="670"/>
    </row>
    <row r="910" spans="1:23" ht="12.75" customHeight="1" x14ac:dyDescent="0.25">
      <c r="A910" s="670"/>
      <c r="B910" s="670"/>
      <c r="C910" s="670"/>
      <c r="D910" s="670"/>
      <c r="E910" s="670"/>
      <c r="F910" s="670"/>
      <c r="G910" s="670"/>
      <c r="H910" s="670"/>
      <c r="I910" s="670"/>
      <c r="J910" s="670"/>
      <c r="K910" s="670"/>
      <c r="L910" s="670"/>
      <c r="M910" s="670"/>
      <c r="N910" s="670"/>
      <c r="O910" s="670"/>
      <c r="P910" s="670"/>
      <c r="Q910" s="670"/>
      <c r="R910" s="670"/>
      <c r="S910" s="670"/>
      <c r="T910" s="670"/>
      <c r="U910" s="670"/>
      <c r="V910" s="670"/>
      <c r="W910" s="670"/>
    </row>
    <row r="911" spans="1:23" ht="12.75" customHeight="1" x14ac:dyDescent="0.25">
      <c r="A911" s="670"/>
      <c r="B911" s="670"/>
      <c r="C911" s="670"/>
      <c r="D911" s="670"/>
      <c r="E911" s="670"/>
      <c r="F911" s="670"/>
      <c r="G911" s="670"/>
      <c r="H911" s="670"/>
      <c r="I911" s="670"/>
      <c r="J911" s="670"/>
      <c r="K911" s="670"/>
      <c r="L911" s="670"/>
      <c r="M911" s="670"/>
      <c r="N911" s="670"/>
      <c r="O911" s="670"/>
      <c r="P911" s="670"/>
      <c r="Q911" s="670"/>
      <c r="R911" s="670"/>
      <c r="S911" s="670"/>
      <c r="T911" s="670"/>
      <c r="U911" s="670"/>
      <c r="V911" s="670"/>
      <c r="W911" s="670"/>
    </row>
    <row r="912" spans="1:23" ht="12.75" customHeight="1" x14ac:dyDescent="0.25">
      <c r="A912" s="670"/>
      <c r="B912" s="670"/>
      <c r="C912" s="670"/>
      <c r="D912" s="670"/>
      <c r="E912" s="670"/>
      <c r="F912" s="670"/>
      <c r="G912" s="670"/>
      <c r="H912" s="670"/>
      <c r="I912" s="670"/>
      <c r="J912" s="670"/>
      <c r="K912" s="670"/>
      <c r="L912" s="670"/>
      <c r="M912" s="670"/>
      <c r="N912" s="670"/>
      <c r="O912" s="670"/>
      <c r="P912" s="670"/>
      <c r="Q912" s="670"/>
      <c r="R912" s="670"/>
      <c r="S912" s="670"/>
      <c r="T912" s="670"/>
      <c r="U912" s="670"/>
      <c r="V912" s="670"/>
      <c r="W912" s="670"/>
    </row>
    <row r="913" spans="1:23" ht="12.75" customHeight="1" x14ac:dyDescent="0.25">
      <c r="A913" s="670"/>
      <c r="B913" s="670"/>
      <c r="C913" s="670"/>
      <c r="D913" s="670"/>
      <c r="E913" s="670"/>
      <c r="F913" s="670"/>
      <c r="G913" s="670"/>
      <c r="H913" s="670"/>
      <c r="I913" s="670"/>
      <c r="J913" s="670"/>
      <c r="K913" s="670"/>
      <c r="L913" s="670"/>
      <c r="M913" s="670"/>
      <c r="N913" s="670"/>
      <c r="O913" s="670"/>
      <c r="P913" s="670"/>
      <c r="Q913" s="670"/>
      <c r="R913" s="670"/>
      <c r="S913" s="670"/>
      <c r="T913" s="670"/>
      <c r="U913" s="670"/>
      <c r="V913" s="670"/>
      <c r="W913" s="670"/>
    </row>
    <row r="914" spans="1:23" ht="12.75" customHeight="1" x14ac:dyDescent="0.25">
      <c r="A914" s="670"/>
      <c r="B914" s="670"/>
      <c r="C914" s="670"/>
      <c r="D914" s="670"/>
      <c r="E914" s="670"/>
      <c r="F914" s="670"/>
      <c r="G914" s="670"/>
      <c r="H914" s="670"/>
      <c r="I914" s="670"/>
      <c r="J914" s="670"/>
      <c r="K914" s="670"/>
      <c r="L914" s="670"/>
      <c r="M914" s="670"/>
      <c r="N914" s="670"/>
      <c r="O914" s="670"/>
      <c r="P914" s="670"/>
      <c r="Q914" s="670"/>
      <c r="R914" s="670"/>
      <c r="S914" s="670"/>
      <c r="T914" s="670"/>
      <c r="U914" s="670"/>
      <c r="V914" s="670"/>
      <c r="W914" s="670"/>
    </row>
    <row r="915" spans="1:23" ht="12.75" customHeight="1" x14ac:dyDescent="0.25">
      <c r="A915" s="670"/>
      <c r="B915" s="670"/>
      <c r="C915" s="670"/>
      <c r="D915" s="670"/>
      <c r="E915" s="670"/>
      <c r="F915" s="670"/>
      <c r="G915" s="670"/>
      <c r="H915" s="670"/>
      <c r="I915" s="670"/>
      <c r="J915" s="670"/>
      <c r="K915" s="670"/>
      <c r="L915" s="670"/>
      <c r="M915" s="670"/>
      <c r="N915" s="670"/>
      <c r="O915" s="670"/>
      <c r="P915" s="670"/>
      <c r="Q915" s="670"/>
      <c r="R915" s="670"/>
      <c r="S915" s="670"/>
      <c r="T915" s="670"/>
      <c r="U915" s="670"/>
      <c r="V915" s="670"/>
      <c r="W915" s="670"/>
    </row>
    <row r="916" spans="1:23" ht="12.75" customHeight="1" x14ac:dyDescent="0.25">
      <c r="A916" s="670"/>
      <c r="B916" s="670"/>
      <c r="C916" s="670"/>
      <c r="D916" s="670"/>
      <c r="E916" s="670"/>
      <c r="F916" s="670"/>
      <c r="G916" s="670"/>
      <c r="H916" s="670"/>
      <c r="I916" s="670"/>
      <c r="J916" s="670"/>
      <c r="K916" s="670"/>
      <c r="L916" s="670"/>
      <c r="M916" s="670"/>
      <c r="N916" s="670"/>
      <c r="O916" s="670"/>
      <c r="P916" s="670"/>
      <c r="Q916" s="670"/>
      <c r="R916" s="670"/>
      <c r="S916" s="670"/>
      <c r="T916" s="670"/>
      <c r="U916" s="670"/>
      <c r="V916" s="670"/>
      <c r="W916" s="670"/>
    </row>
    <row r="917" spans="1:23" ht="12.75" customHeight="1" x14ac:dyDescent="0.25">
      <c r="A917" s="670"/>
      <c r="B917" s="670"/>
      <c r="C917" s="670"/>
      <c r="D917" s="670"/>
      <c r="E917" s="670"/>
      <c r="F917" s="670"/>
      <c r="G917" s="670"/>
      <c r="H917" s="670"/>
      <c r="I917" s="670"/>
      <c r="J917" s="670"/>
      <c r="K917" s="670"/>
      <c r="L917" s="670"/>
      <c r="M917" s="670"/>
      <c r="N917" s="670"/>
      <c r="O917" s="670"/>
      <c r="P917" s="670"/>
      <c r="Q917" s="670"/>
      <c r="R917" s="670"/>
      <c r="S917" s="670"/>
      <c r="T917" s="670"/>
      <c r="U917" s="670"/>
      <c r="V917" s="670"/>
      <c r="W917" s="670"/>
    </row>
    <row r="918" spans="1:23" ht="12.75" customHeight="1" x14ac:dyDescent="0.25">
      <c r="A918" s="670"/>
      <c r="B918" s="670"/>
      <c r="C918" s="670"/>
      <c r="D918" s="670"/>
      <c r="E918" s="670"/>
      <c r="F918" s="670"/>
      <c r="G918" s="670"/>
      <c r="H918" s="670"/>
      <c r="I918" s="670"/>
      <c r="J918" s="670"/>
      <c r="K918" s="670"/>
      <c r="L918" s="670"/>
      <c r="M918" s="670"/>
      <c r="N918" s="670"/>
      <c r="O918" s="670"/>
      <c r="P918" s="670"/>
      <c r="Q918" s="670"/>
      <c r="R918" s="670"/>
      <c r="S918" s="670"/>
      <c r="T918" s="670"/>
      <c r="U918" s="670"/>
      <c r="V918" s="670"/>
      <c r="W918" s="670"/>
    </row>
    <row r="919" spans="1:23" ht="12.75" customHeight="1" x14ac:dyDescent="0.25">
      <c r="A919" s="670"/>
      <c r="B919" s="670"/>
      <c r="C919" s="670"/>
      <c r="D919" s="670"/>
      <c r="E919" s="670"/>
      <c r="F919" s="670"/>
      <c r="G919" s="670"/>
      <c r="H919" s="670"/>
      <c r="I919" s="670"/>
      <c r="J919" s="670"/>
      <c r="K919" s="670"/>
      <c r="L919" s="670"/>
      <c r="M919" s="670"/>
      <c r="N919" s="670"/>
      <c r="O919" s="670"/>
      <c r="P919" s="670"/>
      <c r="Q919" s="670"/>
      <c r="R919" s="670"/>
      <c r="S919" s="670"/>
      <c r="T919" s="670"/>
      <c r="U919" s="670"/>
      <c r="V919" s="670"/>
      <c r="W919" s="670"/>
    </row>
    <row r="920" spans="1:23" ht="12.75" customHeight="1" x14ac:dyDescent="0.25">
      <c r="A920" s="670"/>
      <c r="B920" s="670"/>
      <c r="C920" s="670"/>
      <c r="D920" s="670"/>
      <c r="E920" s="670"/>
      <c r="F920" s="670"/>
      <c r="G920" s="670"/>
      <c r="H920" s="670"/>
      <c r="I920" s="670"/>
      <c r="J920" s="670"/>
      <c r="K920" s="670"/>
      <c r="L920" s="670"/>
      <c r="M920" s="670"/>
      <c r="N920" s="670"/>
      <c r="O920" s="670"/>
      <c r="P920" s="670"/>
      <c r="Q920" s="670"/>
      <c r="R920" s="670"/>
      <c r="S920" s="670"/>
      <c r="T920" s="670"/>
      <c r="U920" s="670"/>
      <c r="V920" s="670"/>
      <c r="W920" s="670"/>
    </row>
    <row r="921" spans="1:23" ht="12.75" customHeight="1" x14ac:dyDescent="0.25">
      <c r="A921" s="670"/>
      <c r="B921" s="670"/>
      <c r="C921" s="670"/>
      <c r="D921" s="670"/>
      <c r="E921" s="670"/>
      <c r="F921" s="670"/>
      <c r="G921" s="670"/>
      <c r="H921" s="670"/>
      <c r="I921" s="670"/>
      <c r="J921" s="670"/>
      <c r="K921" s="670"/>
      <c r="L921" s="670"/>
      <c r="M921" s="670"/>
      <c r="N921" s="670"/>
      <c r="O921" s="670"/>
      <c r="P921" s="670"/>
      <c r="Q921" s="670"/>
      <c r="R921" s="670"/>
      <c r="S921" s="670"/>
      <c r="T921" s="670"/>
      <c r="U921" s="670"/>
      <c r="V921" s="670"/>
      <c r="W921" s="670"/>
    </row>
    <row r="922" spans="1:23" ht="12.75" customHeight="1" x14ac:dyDescent="0.25">
      <c r="A922" s="670"/>
      <c r="B922" s="670"/>
      <c r="C922" s="670"/>
      <c r="D922" s="670"/>
      <c r="E922" s="670"/>
      <c r="F922" s="670"/>
      <c r="G922" s="670"/>
      <c r="H922" s="670"/>
      <c r="I922" s="670"/>
      <c r="J922" s="670"/>
      <c r="K922" s="670"/>
      <c r="L922" s="670"/>
      <c r="M922" s="670"/>
      <c r="N922" s="670"/>
      <c r="O922" s="670"/>
      <c r="P922" s="670"/>
      <c r="Q922" s="670"/>
      <c r="R922" s="670"/>
      <c r="S922" s="670"/>
      <c r="T922" s="670"/>
      <c r="U922" s="670"/>
      <c r="V922" s="670"/>
      <c r="W922" s="670"/>
    </row>
    <row r="923" spans="1:23" ht="12.75" customHeight="1" x14ac:dyDescent="0.25">
      <c r="A923" s="670"/>
      <c r="B923" s="670"/>
      <c r="C923" s="670"/>
      <c r="D923" s="670"/>
      <c r="E923" s="670"/>
      <c r="F923" s="670"/>
      <c r="G923" s="670"/>
      <c r="H923" s="670"/>
      <c r="I923" s="670"/>
      <c r="J923" s="670"/>
      <c r="K923" s="670"/>
      <c r="L923" s="670"/>
      <c r="M923" s="670"/>
      <c r="N923" s="670"/>
      <c r="O923" s="670"/>
      <c r="P923" s="670"/>
      <c r="Q923" s="670"/>
      <c r="R923" s="670"/>
      <c r="S923" s="670"/>
      <c r="T923" s="670"/>
      <c r="U923" s="670"/>
      <c r="V923" s="670"/>
      <c r="W923" s="670"/>
    </row>
    <row r="924" spans="1:23" ht="12.75" customHeight="1" x14ac:dyDescent="0.25">
      <c r="A924" s="670"/>
      <c r="B924" s="670"/>
      <c r="C924" s="670"/>
      <c r="D924" s="670"/>
      <c r="E924" s="670"/>
      <c r="F924" s="670"/>
      <c r="G924" s="670"/>
      <c r="H924" s="670"/>
      <c r="I924" s="670"/>
      <c r="J924" s="670"/>
      <c r="K924" s="670"/>
      <c r="L924" s="670"/>
      <c r="M924" s="670"/>
      <c r="N924" s="670"/>
      <c r="O924" s="670"/>
      <c r="P924" s="670"/>
      <c r="Q924" s="670"/>
      <c r="R924" s="670"/>
      <c r="S924" s="670"/>
      <c r="T924" s="670"/>
      <c r="U924" s="670"/>
      <c r="V924" s="670"/>
      <c r="W924" s="670"/>
    </row>
    <row r="925" spans="1:23" ht="12.75" customHeight="1" x14ac:dyDescent="0.25">
      <c r="A925" s="670"/>
      <c r="B925" s="670"/>
      <c r="C925" s="670"/>
      <c r="D925" s="670"/>
      <c r="E925" s="670"/>
      <c r="F925" s="670"/>
      <c r="G925" s="670"/>
      <c r="H925" s="670"/>
      <c r="I925" s="670"/>
      <c r="J925" s="670"/>
      <c r="K925" s="670"/>
      <c r="L925" s="670"/>
      <c r="M925" s="670"/>
      <c r="N925" s="670"/>
      <c r="O925" s="670"/>
      <c r="P925" s="670"/>
      <c r="Q925" s="670"/>
      <c r="R925" s="670"/>
      <c r="S925" s="670"/>
      <c r="T925" s="670"/>
      <c r="U925" s="670"/>
      <c r="V925" s="670"/>
      <c r="W925" s="670"/>
    </row>
    <row r="926" spans="1:23" ht="12.75" customHeight="1" x14ac:dyDescent="0.25">
      <c r="A926" s="670"/>
      <c r="B926" s="670"/>
      <c r="C926" s="670"/>
      <c r="D926" s="670"/>
      <c r="E926" s="670"/>
      <c r="F926" s="670"/>
      <c r="G926" s="670"/>
      <c r="H926" s="670"/>
      <c r="I926" s="670"/>
      <c r="J926" s="670"/>
      <c r="K926" s="670"/>
      <c r="L926" s="670"/>
      <c r="M926" s="670"/>
      <c r="N926" s="670"/>
      <c r="O926" s="670"/>
      <c r="P926" s="670"/>
      <c r="Q926" s="670"/>
      <c r="R926" s="670"/>
      <c r="S926" s="670"/>
      <c r="T926" s="670"/>
      <c r="U926" s="670"/>
      <c r="V926" s="670"/>
      <c r="W926" s="670"/>
    </row>
    <row r="927" spans="1:23" ht="12.75" customHeight="1" x14ac:dyDescent="0.25">
      <c r="A927" s="670"/>
      <c r="B927" s="670"/>
      <c r="C927" s="670"/>
      <c r="D927" s="670"/>
      <c r="E927" s="670"/>
      <c r="F927" s="670"/>
      <c r="G927" s="670"/>
      <c r="H927" s="670"/>
      <c r="I927" s="670"/>
      <c r="J927" s="670"/>
      <c r="K927" s="670"/>
      <c r="L927" s="670"/>
      <c r="M927" s="670"/>
      <c r="N927" s="670"/>
      <c r="O927" s="670"/>
      <c r="P927" s="670"/>
      <c r="Q927" s="670"/>
      <c r="R927" s="670"/>
      <c r="S927" s="670"/>
      <c r="T927" s="670"/>
      <c r="U927" s="670"/>
      <c r="V927" s="670"/>
      <c r="W927" s="670"/>
    </row>
    <row r="928" spans="1:23" ht="12.75" customHeight="1" x14ac:dyDescent="0.25">
      <c r="A928" s="670"/>
      <c r="B928" s="670"/>
      <c r="C928" s="670"/>
      <c r="D928" s="670"/>
      <c r="E928" s="670"/>
      <c r="F928" s="670"/>
      <c r="G928" s="670"/>
      <c r="H928" s="670"/>
      <c r="I928" s="670"/>
      <c r="J928" s="670"/>
      <c r="K928" s="670"/>
      <c r="L928" s="670"/>
      <c r="M928" s="670"/>
      <c r="N928" s="670"/>
      <c r="O928" s="670"/>
      <c r="P928" s="670"/>
      <c r="Q928" s="670"/>
      <c r="R928" s="670"/>
      <c r="S928" s="670"/>
      <c r="T928" s="670"/>
      <c r="U928" s="670"/>
      <c r="V928" s="670"/>
      <c r="W928" s="670"/>
    </row>
    <row r="929" spans="1:23" ht="12.75" customHeight="1" x14ac:dyDescent="0.25">
      <c r="A929" s="670"/>
      <c r="B929" s="670"/>
      <c r="C929" s="670"/>
      <c r="D929" s="670"/>
      <c r="E929" s="670"/>
      <c r="F929" s="670"/>
      <c r="G929" s="670"/>
      <c r="H929" s="670"/>
      <c r="I929" s="670"/>
      <c r="J929" s="670"/>
      <c r="K929" s="670"/>
      <c r="L929" s="670"/>
      <c r="M929" s="670"/>
      <c r="N929" s="670"/>
      <c r="O929" s="670"/>
      <c r="P929" s="670"/>
      <c r="Q929" s="670"/>
      <c r="R929" s="670"/>
      <c r="S929" s="670"/>
      <c r="T929" s="670"/>
      <c r="U929" s="670"/>
      <c r="V929" s="670"/>
      <c r="W929" s="670"/>
    </row>
    <row r="930" spans="1:23" ht="12.75" customHeight="1" x14ac:dyDescent="0.25">
      <c r="A930" s="670"/>
      <c r="B930" s="670"/>
      <c r="C930" s="670"/>
      <c r="D930" s="670"/>
      <c r="E930" s="670"/>
      <c r="F930" s="670"/>
      <c r="G930" s="670"/>
      <c r="H930" s="670"/>
      <c r="I930" s="670"/>
      <c r="J930" s="670"/>
      <c r="K930" s="670"/>
      <c r="L930" s="670"/>
      <c r="M930" s="670"/>
      <c r="N930" s="670"/>
      <c r="O930" s="670"/>
      <c r="P930" s="670"/>
      <c r="Q930" s="670"/>
      <c r="R930" s="670"/>
      <c r="S930" s="670"/>
      <c r="T930" s="670"/>
      <c r="U930" s="670"/>
      <c r="V930" s="670"/>
      <c r="W930" s="670"/>
    </row>
    <row r="931" spans="1:23" ht="12.75" customHeight="1" x14ac:dyDescent="0.25">
      <c r="A931" s="670"/>
      <c r="B931" s="670"/>
      <c r="C931" s="670"/>
      <c r="D931" s="670"/>
      <c r="E931" s="670"/>
      <c r="F931" s="670"/>
      <c r="G931" s="670"/>
      <c r="H931" s="670"/>
      <c r="I931" s="670"/>
      <c r="J931" s="670"/>
      <c r="K931" s="670"/>
      <c r="L931" s="670"/>
      <c r="M931" s="670"/>
      <c r="N931" s="670"/>
      <c r="O931" s="670"/>
      <c r="P931" s="670"/>
      <c r="Q931" s="670"/>
      <c r="R931" s="670"/>
      <c r="S931" s="670"/>
      <c r="T931" s="670"/>
      <c r="U931" s="670"/>
      <c r="V931" s="670"/>
      <c r="W931" s="670"/>
    </row>
    <row r="932" spans="1:23" ht="12.75" customHeight="1" x14ac:dyDescent="0.25">
      <c r="A932" s="670"/>
      <c r="B932" s="670"/>
      <c r="C932" s="670"/>
      <c r="D932" s="670"/>
      <c r="E932" s="670"/>
      <c r="F932" s="670"/>
      <c r="G932" s="670"/>
      <c r="H932" s="670"/>
      <c r="I932" s="670"/>
      <c r="J932" s="670"/>
      <c r="K932" s="670"/>
      <c r="L932" s="670"/>
      <c r="M932" s="670"/>
      <c r="N932" s="670"/>
      <c r="O932" s="670"/>
      <c r="P932" s="670"/>
      <c r="Q932" s="670"/>
      <c r="R932" s="670"/>
      <c r="S932" s="670"/>
      <c r="T932" s="670"/>
      <c r="U932" s="670"/>
      <c r="V932" s="670"/>
      <c r="W932" s="670"/>
    </row>
    <row r="933" spans="1:23" ht="12.75" customHeight="1" x14ac:dyDescent="0.25">
      <c r="A933" s="670"/>
      <c r="B933" s="670"/>
      <c r="C933" s="670"/>
      <c r="D933" s="670"/>
      <c r="E933" s="670"/>
      <c r="F933" s="670"/>
      <c r="G933" s="670"/>
      <c r="H933" s="670"/>
      <c r="I933" s="670"/>
      <c r="J933" s="670"/>
      <c r="K933" s="670"/>
      <c r="L933" s="670"/>
      <c r="M933" s="670"/>
      <c r="N933" s="670"/>
      <c r="O933" s="670"/>
      <c r="P933" s="670"/>
      <c r="Q933" s="670"/>
      <c r="R933" s="670"/>
      <c r="S933" s="670"/>
      <c r="T933" s="670"/>
      <c r="U933" s="670"/>
      <c r="V933" s="670"/>
      <c r="W933" s="670"/>
    </row>
    <row r="934" spans="1:23" ht="12.75" customHeight="1" x14ac:dyDescent="0.25">
      <c r="A934" s="670"/>
      <c r="B934" s="670"/>
      <c r="C934" s="670"/>
      <c r="D934" s="670"/>
      <c r="E934" s="670"/>
      <c r="F934" s="670"/>
      <c r="G934" s="670"/>
      <c r="H934" s="670"/>
      <c r="I934" s="670"/>
      <c r="J934" s="670"/>
      <c r="K934" s="670"/>
      <c r="L934" s="670"/>
      <c r="M934" s="670"/>
      <c r="N934" s="670"/>
      <c r="O934" s="670"/>
      <c r="P934" s="670"/>
      <c r="Q934" s="670"/>
      <c r="R934" s="670"/>
      <c r="S934" s="670"/>
      <c r="T934" s="670"/>
      <c r="U934" s="670"/>
      <c r="V934" s="670"/>
      <c r="W934" s="670"/>
    </row>
    <row r="935" spans="1:23" ht="12.75" customHeight="1" x14ac:dyDescent="0.25">
      <c r="A935" s="670"/>
      <c r="B935" s="670"/>
      <c r="C935" s="670"/>
      <c r="D935" s="670"/>
      <c r="E935" s="670"/>
      <c r="F935" s="670"/>
      <c r="G935" s="670"/>
      <c r="H935" s="670"/>
      <c r="I935" s="670"/>
      <c r="J935" s="670"/>
      <c r="K935" s="670"/>
      <c r="L935" s="670"/>
      <c r="M935" s="670"/>
      <c r="N935" s="670"/>
      <c r="O935" s="670"/>
      <c r="P935" s="670"/>
      <c r="Q935" s="670"/>
      <c r="R935" s="670"/>
      <c r="S935" s="670"/>
      <c r="T935" s="670"/>
      <c r="U935" s="670"/>
      <c r="V935" s="670"/>
      <c r="W935" s="670"/>
    </row>
    <row r="936" spans="1:23" ht="12.75" customHeight="1" x14ac:dyDescent="0.25">
      <c r="A936" s="670"/>
      <c r="B936" s="670"/>
      <c r="C936" s="670"/>
      <c r="D936" s="670"/>
      <c r="E936" s="670"/>
      <c r="F936" s="670"/>
      <c r="G936" s="670"/>
      <c r="H936" s="670"/>
      <c r="I936" s="670"/>
      <c r="J936" s="670"/>
      <c r="K936" s="670"/>
      <c r="L936" s="670"/>
      <c r="M936" s="670"/>
      <c r="N936" s="670"/>
      <c r="O936" s="670"/>
      <c r="P936" s="670"/>
      <c r="Q936" s="670"/>
      <c r="R936" s="670"/>
      <c r="S936" s="670"/>
      <c r="T936" s="670"/>
      <c r="U936" s="670"/>
      <c r="V936" s="670"/>
      <c r="W936" s="670"/>
    </row>
    <row r="937" spans="1:23" ht="12.75" customHeight="1" x14ac:dyDescent="0.25">
      <c r="A937" s="670"/>
      <c r="B937" s="670"/>
      <c r="C937" s="670"/>
      <c r="D937" s="670"/>
      <c r="E937" s="670"/>
      <c r="F937" s="670"/>
      <c r="G937" s="670"/>
      <c r="H937" s="670"/>
      <c r="I937" s="670"/>
      <c r="J937" s="670"/>
      <c r="K937" s="670"/>
      <c r="L937" s="670"/>
      <c r="M937" s="670"/>
      <c r="N937" s="670"/>
      <c r="O937" s="670"/>
      <c r="P937" s="670"/>
      <c r="Q937" s="670"/>
      <c r="R937" s="670"/>
      <c r="S937" s="670"/>
      <c r="T937" s="670"/>
      <c r="U937" s="670"/>
      <c r="V937" s="670"/>
      <c r="W937" s="670"/>
    </row>
    <row r="938" spans="1:23" ht="12.75" customHeight="1" x14ac:dyDescent="0.25">
      <c r="A938" s="670"/>
      <c r="B938" s="670"/>
      <c r="C938" s="670"/>
      <c r="D938" s="670"/>
      <c r="E938" s="670"/>
      <c r="F938" s="670"/>
      <c r="G938" s="670"/>
      <c r="H938" s="670"/>
      <c r="I938" s="670"/>
      <c r="J938" s="670"/>
      <c r="K938" s="670"/>
      <c r="L938" s="670"/>
      <c r="M938" s="670"/>
      <c r="N938" s="670"/>
      <c r="O938" s="670"/>
      <c r="P938" s="670"/>
      <c r="Q938" s="670"/>
      <c r="R938" s="670"/>
      <c r="S938" s="670"/>
      <c r="T938" s="670"/>
      <c r="U938" s="670"/>
      <c r="V938" s="670"/>
      <c r="W938" s="670"/>
    </row>
    <row r="939" spans="1:23" ht="12.75" customHeight="1" x14ac:dyDescent="0.25">
      <c r="A939" s="670"/>
      <c r="B939" s="670"/>
      <c r="C939" s="670"/>
      <c r="D939" s="670"/>
      <c r="E939" s="670"/>
      <c r="F939" s="670"/>
      <c r="G939" s="670"/>
      <c r="H939" s="670"/>
      <c r="I939" s="670"/>
      <c r="J939" s="670"/>
      <c r="K939" s="670"/>
      <c r="L939" s="670"/>
      <c r="M939" s="670"/>
      <c r="N939" s="670"/>
      <c r="O939" s="670"/>
      <c r="P939" s="670"/>
      <c r="Q939" s="670"/>
      <c r="R939" s="670"/>
      <c r="S939" s="670"/>
      <c r="T939" s="670"/>
      <c r="U939" s="670"/>
      <c r="V939" s="670"/>
      <c r="W939" s="670"/>
    </row>
    <row r="940" spans="1:23" ht="12.75" customHeight="1" x14ac:dyDescent="0.25">
      <c r="A940" s="670"/>
      <c r="B940" s="670"/>
      <c r="C940" s="670"/>
      <c r="D940" s="670"/>
      <c r="E940" s="670"/>
      <c r="F940" s="670"/>
      <c r="G940" s="670"/>
      <c r="H940" s="670"/>
      <c r="I940" s="670"/>
      <c r="J940" s="670"/>
      <c r="K940" s="670"/>
      <c r="L940" s="670"/>
      <c r="M940" s="670"/>
      <c r="N940" s="670"/>
      <c r="O940" s="670"/>
      <c r="P940" s="670"/>
      <c r="Q940" s="670"/>
      <c r="R940" s="670"/>
      <c r="S940" s="670"/>
      <c r="T940" s="670"/>
      <c r="U940" s="670"/>
      <c r="V940" s="670"/>
      <c r="W940" s="670"/>
    </row>
    <row r="941" spans="1:23" ht="12.75" customHeight="1" x14ac:dyDescent="0.25">
      <c r="A941" s="670"/>
      <c r="B941" s="670"/>
      <c r="C941" s="670"/>
      <c r="D941" s="670"/>
      <c r="E941" s="670"/>
      <c r="F941" s="670"/>
      <c r="G941" s="670"/>
      <c r="H941" s="670"/>
      <c r="I941" s="670"/>
      <c r="J941" s="670"/>
      <c r="K941" s="670"/>
      <c r="L941" s="670"/>
      <c r="M941" s="670"/>
      <c r="N941" s="670"/>
      <c r="O941" s="670"/>
      <c r="P941" s="670"/>
      <c r="Q941" s="670"/>
      <c r="R941" s="670"/>
      <c r="S941" s="670"/>
      <c r="T941" s="670"/>
      <c r="U941" s="670"/>
      <c r="V941" s="670"/>
      <c r="W941" s="670"/>
    </row>
    <row r="942" spans="1:23" ht="12.75" customHeight="1" x14ac:dyDescent="0.25">
      <c r="A942" s="670"/>
      <c r="B942" s="670"/>
      <c r="C942" s="670"/>
      <c r="D942" s="670"/>
      <c r="E942" s="670"/>
      <c r="F942" s="670"/>
      <c r="G942" s="670"/>
      <c r="H942" s="670"/>
      <c r="I942" s="670"/>
      <c r="J942" s="670"/>
      <c r="K942" s="670"/>
      <c r="L942" s="670"/>
      <c r="M942" s="670"/>
      <c r="N942" s="670"/>
      <c r="O942" s="670"/>
      <c r="P942" s="670"/>
      <c r="Q942" s="670"/>
      <c r="R942" s="670"/>
      <c r="S942" s="670"/>
      <c r="T942" s="670"/>
      <c r="U942" s="670"/>
      <c r="V942" s="670"/>
      <c r="W942" s="670"/>
    </row>
    <row r="943" spans="1:23" ht="12.75" customHeight="1" x14ac:dyDescent="0.25">
      <c r="A943" s="670"/>
      <c r="B943" s="670"/>
      <c r="C943" s="670"/>
      <c r="D943" s="670"/>
      <c r="E943" s="670"/>
      <c r="F943" s="670"/>
      <c r="G943" s="670"/>
      <c r="H943" s="670"/>
      <c r="I943" s="670"/>
      <c r="J943" s="670"/>
      <c r="K943" s="670"/>
      <c r="L943" s="670"/>
      <c r="M943" s="670"/>
      <c r="N943" s="670"/>
      <c r="O943" s="670"/>
      <c r="P943" s="670"/>
      <c r="Q943" s="670"/>
      <c r="R943" s="670"/>
      <c r="S943" s="670"/>
      <c r="T943" s="670"/>
      <c r="U943" s="670"/>
      <c r="V943" s="670"/>
      <c r="W943" s="670"/>
    </row>
    <row r="944" spans="1:23" ht="12.75" customHeight="1" x14ac:dyDescent="0.25">
      <c r="A944" s="670"/>
      <c r="B944" s="670"/>
      <c r="C944" s="670"/>
      <c r="D944" s="670"/>
      <c r="E944" s="670"/>
      <c r="F944" s="670"/>
      <c r="G944" s="670"/>
      <c r="H944" s="670"/>
      <c r="I944" s="670"/>
      <c r="J944" s="670"/>
      <c r="K944" s="670"/>
      <c r="L944" s="670"/>
      <c r="M944" s="670"/>
      <c r="N944" s="670"/>
      <c r="O944" s="670"/>
      <c r="P944" s="670"/>
      <c r="Q944" s="670"/>
      <c r="R944" s="670"/>
      <c r="S944" s="670"/>
      <c r="T944" s="670"/>
      <c r="U944" s="670"/>
      <c r="V944" s="670"/>
      <c r="W944" s="670"/>
    </row>
    <row r="945" spans="1:23" ht="12.75" customHeight="1" x14ac:dyDescent="0.25">
      <c r="A945" s="670"/>
      <c r="B945" s="670"/>
      <c r="C945" s="670"/>
      <c r="D945" s="670"/>
      <c r="E945" s="670"/>
      <c r="F945" s="670"/>
      <c r="G945" s="670"/>
      <c r="H945" s="670"/>
      <c r="I945" s="670"/>
      <c r="J945" s="670"/>
      <c r="K945" s="670"/>
      <c r="L945" s="670"/>
      <c r="M945" s="670"/>
      <c r="N945" s="670"/>
      <c r="O945" s="670"/>
      <c r="P945" s="670"/>
      <c r="Q945" s="670"/>
      <c r="R945" s="670"/>
      <c r="S945" s="670"/>
      <c r="T945" s="670"/>
      <c r="U945" s="670"/>
      <c r="V945" s="670"/>
      <c r="W945" s="670"/>
    </row>
    <row r="946" spans="1:23" ht="12.75" customHeight="1" x14ac:dyDescent="0.25">
      <c r="A946" s="670"/>
      <c r="B946" s="670"/>
      <c r="C946" s="670"/>
      <c r="D946" s="670"/>
      <c r="E946" s="670"/>
      <c r="F946" s="670"/>
      <c r="G946" s="670"/>
      <c r="H946" s="670"/>
      <c r="I946" s="670"/>
      <c r="J946" s="670"/>
      <c r="K946" s="670"/>
      <c r="L946" s="670"/>
      <c r="M946" s="670"/>
      <c r="N946" s="670"/>
      <c r="O946" s="670"/>
      <c r="P946" s="670"/>
      <c r="Q946" s="670"/>
      <c r="R946" s="670"/>
      <c r="S946" s="670"/>
      <c r="T946" s="670"/>
      <c r="U946" s="670"/>
      <c r="V946" s="670"/>
      <c r="W946" s="670"/>
    </row>
    <row r="947" spans="1:23" ht="12.75" customHeight="1" x14ac:dyDescent="0.25">
      <c r="A947" s="670"/>
      <c r="B947" s="670"/>
      <c r="C947" s="670"/>
      <c r="D947" s="670"/>
      <c r="E947" s="670"/>
      <c r="F947" s="670"/>
      <c r="G947" s="670"/>
      <c r="H947" s="670"/>
      <c r="I947" s="670"/>
      <c r="J947" s="670"/>
      <c r="K947" s="670"/>
      <c r="L947" s="670"/>
      <c r="M947" s="670"/>
      <c r="N947" s="670"/>
      <c r="O947" s="670"/>
      <c r="P947" s="670"/>
      <c r="Q947" s="670"/>
      <c r="R947" s="670"/>
      <c r="S947" s="670"/>
      <c r="T947" s="670"/>
      <c r="U947" s="670"/>
      <c r="V947" s="670"/>
      <c r="W947" s="670"/>
    </row>
    <row r="948" spans="1:23" ht="12.75" customHeight="1" x14ac:dyDescent="0.25">
      <c r="A948" s="670"/>
      <c r="B948" s="670"/>
      <c r="C948" s="670"/>
      <c r="D948" s="670"/>
      <c r="E948" s="670"/>
      <c r="F948" s="670"/>
      <c r="G948" s="670"/>
      <c r="H948" s="670"/>
      <c r="I948" s="670"/>
      <c r="J948" s="670"/>
      <c r="K948" s="670"/>
      <c r="L948" s="670"/>
      <c r="M948" s="670"/>
      <c r="N948" s="670"/>
      <c r="O948" s="670"/>
      <c r="P948" s="670"/>
      <c r="Q948" s="670"/>
      <c r="R948" s="670"/>
      <c r="S948" s="670"/>
      <c r="T948" s="670"/>
      <c r="U948" s="670"/>
      <c r="V948" s="670"/>
      <c r="W948" s="670"/>
    </row>
    <row r="949" spans="1:23" ht="12.75" customHeight="1" x14ac:dyDescent="0.25">
      <c r="A949" s="670"/>
      <c r="B949" s="670"/>
      <c r="C949" s="670"/>
      <c r="D949" s="670"/>
      <c r="E949" s="670"/>
      <c r="F949" s="670"/>
      <c r="G949" s="670"/>
      <c r="H949" s="670"/>
      <c r="I949" s="670"/>
      <c r="J949" s="670"/>
      <c r="K949" s="670"/>
      <c r="L949" s="670"/>
      <c r="M949" s="670"/>
      <c r="N949" s="670"/>
      <c r="O949" s="670"/>
      <c r="P949" s="670"/>
      <c r="Q949" s="670"/>
      <c r="R949" s="670"/>
      <c r="S949" s="670"/>
      <c r="T949" s="670"/>
      <c r="U949" s="670"/>
      <c r="V949" s="670"/>
      <c r="W949" s="670"/>
    </row>
    <row r="950" spans="1:23" ht="12.75" customHeight="1" x14ac:dyDescent="0.25">
      <c r="A950" s="670"/>
      <c r="B950" s="670"/>
      <c r="C950" s="670"/>
      <c r="D950" s="670"/>
      <c r="E950" s="670"/>
      <c r="F950" s="670"/>
      <c r="G950" s="670"/>
      <c r="H950" s="670"/>
      <c r="I950" s="670"/>
      <c r="J950" s="670"/>
      <c r="K950" s="670"/>
      <c r="L950" s="670"/>
      <c r="M950" s="670"/>
      <c r="N950" s="670"/>
      <c r="O950" s="670"/>
      <c r="P950" s="670"/>
      <c r="Q950" s="670"/>
      <c r="R950" s="670"/>
      <c r="S950" s="670"/>
      <c r="T950" s="670"/>
      <c r="U950" s="670"/>
      <c r="V950" s="670"/>
      <c r="W950" s="670"/>
    </row>
    <row r="951" spans="1:23" ht="12.75" customHeight="1" x14ac:dyDescent="0.25">
      <c r="A951" s="670"/>
      <c r="B951" s="670"/>
      <c r="C951" s="670"/>
      <c r="D951" s="670"/>
      <c r="E951" s="670"/>
      <c r="F951" s="670"/>
      <c r="G951" s="670"/>
      <c r="H951" s="670"/>
      <c r="I951" s="670"/>
      <c r="J951" s="670"/>
      <c r="K951" s="670"/>
      <c r="L951" s="670"/>
      <c r="M951" s="670"/>
      <c r="N951" s="670"/>
      <c r="O951" s="670"/>
      <c r="P951" s="670"/>
      <c r="Q951" s="670"/>
      <c r="R951" s="670"/>
      <c r="S951" s="670"/>
      <c r="T951" s="670"/>
      <c r="U951" s="670"/>
      <c r="V951" s="670"/>
      <c r="W951" s="670"/>
    </row>
    <row r="952" spans="1:23" ht="12.75" customHeight="1" x14ac:dyDescent="0.25">
      <c r="A952" s="670"/>
      <c r="B952" s="670"/>
      <c r="C952" s="670"/>
      <c r="D952" s="670"/>
      <c r="E952" s="670"/>
      <c r="F952" s="670"/>
      <c r="G952" s="670"/>
      <c r="H952" s="670"/>
      <c r="I952" s="670"/>
      <c r="J952" s="670"/>
      <c r="K952" s="670"/>
      <c r="L952" s="670"/>
      <c r="M952" s="670"/>
      <c r="N952" s="670"/>
      <c r="O952" s="670"/>
      <c r="P952" s="670"/>
      <c r="Q952" s="670"/>
      <c r="R952" s="670"/>
      <c r="S952" s="670"/>
      <c r="T952" s="670"/>
      <c r="U952" s="670"/>
      <c r="V952" s="670"/>
      <c r="W952" s="670"/>
    </row>
    <row r="953" spans="1:23" ht="12.75" customHeight="1" x14ac:dyDescent="0.25">
      <c r="A953" s="670"/>
      <c r="B953" s="670"/>
      <c r="C953" s="670"/>
      <c r="D953" s="670"/>
      <c r="E953" s="670"/>
      <c r="F953" s="670"/>
      <c r="G953" s="670"/>
      <c r="H953" s="670"/>
      <c r="I953" s="670"/>
      <c r="J953" s="670"/>
      <c r="K953" s="670"/>
      <c r="L953" s="670"/>
      <c r="M953" s="670"/>
      <c r="N953" s="670"/>
      <c r="O953" s="670"/>
      <c r="P953" s="670"/>
      <c r="Q953" s="670"/>
      <c r="R953" s="670"/>
      <c r="S953" s="670"/>
      <c r="T953" s="670"/>
      <c r="U953" s="670"/>
      <c r="V953" s="670"/>
      <c r="W953" s="670"/>
    </row>
    <row r="954" spans="1:23" ht="12.75" customHeight="1" x14ac:dyDescent="0.25">
      <c r="A954" s="670"/>
      <c r="B954" s="670"/>
      <c r="C954" s="670"/>
      <c r="D954" s="670"/>
      <c r="E954" s="670"/>
      <c r="F954" s="670"/>
      <c r="G954" s="670"/>
      <c r="H954" s="670"/>
      <c r="I954" s="670"/>
      <c r="J954" s="670"/>
      <c r="K954" s="670"/>
      <c r="L954" s="670"/>
      <c r="M954" s="670"/>
      <c r="N954" s="670"/>
      <c r="O954" s="670"/>
      <c r="P954" s="670"/>
      <c r="Q954" s="670"/>
      <c r="R954" s="670"/>
      <c r="S954" s="670"/>
      <c r="T954" s="670"/>
      <c r="U954" s="670"/>
      <c r="V954" s="670"/>
      <c r="W954" s="670"/>
    </row>
    <row r="955" spans="1:23" ht="12.75" customHeight="1" x14ac:dyDescent="0.25">
      <c r="A955" s="670"/>
      <c r="B955" s="670"/>
      <c r="C955" s="670"/>
      <c r="D955" s="670"/>
      <c r="E955" s="670"/>
      <c r="F955" s="670"/>
      <c r="G955" s="670"/>
      <c r="H955" s="670"/>
      <c r="I955" s="670"/>
      <c r="J955" s="670"/>
      <c r="K955" s="670"/>
      <c r="L955" s="670"/>
      <c r="M955" s="670"/>
      <c r="N955" s="670"/>
      <c r="O955" s="670"/>
      <c r="P955" s="670"/>
      <c r="Q955" s="670"/>
      <c r="R955" s="670"/>
      <c r="S955" s="670"/>
      <c r="T955" s="670"/>
      <c r="U955" s="670"/>
      <c r="V955" s="670"/>
      <c r="W955" s="670"/>
    </row>
    <row r="956" spans="1:23" ht="12.75" customHeight="1" x14ac:dyDescent="0.25">
      <c r="A956" s="670"/>
      <c r="B956" s="670"/>
      <c r="C956" s="670"/>
      <c r="D956" s="670"/>
      <c r="E956" s="670"/>
      <c r="F956" s="670"/>
      <c r="G956" s="670"/>
      <c r="H956" s="670"/>
      <c r="I956" s="670"/>
      <c r="J956" s="670"/>
      <c r="K956" s="670"/>
      <c r="L956" s="670"/>
      <c r="M956" s="670"/>
      <c r="N956" s="670"/>
      <c r="O956" s="670"/>
      <c r="P956" s="670"/>
      <c r="Q956" s="670"/>
      <c r="R956" s="670"/>
      <c r="S956" s="670"/>
      <c r="T956" s="670"/>
      <c r="U956" s="670"/>
      <c r="V956" s="670"/>
      <c r="W956" s="670"/>
    </row>
    <row r="957" spans="1:23" ht="12.75" customHeight="1" x14ac:dyDescent="0.25">
      <c r="A957" s="670"/>
      <c r="B957" s="670"/>
      <c r="C957" s="670"/>
      <c r="D957" s="670"/>
      <c r="E957" s="670"/>
      <c r="F957" s="670"/>
      <c r="G957" s="670"/>
      <c r="H957" s="670"/>
      <c r="I957" s="670"/>
      <c r="J957" s="670"/>
      <c r="K957" s="670"/>
      <c r="L957" s="670"/>
      <c r="M957" s="670"/>
      <c r="N957" s="670"/>
      <c r="O957" s="670"/>
      <c r="P957" s="670"/>
      <c r="Q957" s="670"/>
      <c r="R957" s="670"/>
      <c r="S957" s="670"/>
      <c r="T957" s="670"/>
      <c r="U957" s="670"/>
      <c r="V957" s="670"/>
      <c r="W957" s="670"/>
    </row>
    <row r="958" spans="1:23" ht="12.75" customHeight="1" x14ac:dyDescent="0.25">
      <c r="A958" s="670"/>
      <c r="B958" s="670"/>
      <c r="C958" s="670"/>
      <c r="D958" s="670"/>
      <c r="E958" s="670"/>
      <c r="F958" s="670"/>
      <c r="G958" s="670"/>
      <c r="H958" s="670"/>
      <c r="I958" s="670"/>
      <c r="J958" s="670"/>
      <c r="K958" s="670"/>
      <c r="L958" s="670"/>
      <c r="M958" s="670"/>
      <c r="N958" s="670"/>
      <c r="O958" s="670"/>
      <c r="P958" s="670"/>
      <c r="Q958" s="670"/>
      <c r="R958" s="670"/>
      <c r="S958" s="670"/>
      <c r="T958" s="670"/>
      <c r="U958" s="670"/>
      <c r="V958" s="670"/>
      <c r="W958" s="670"/>
    </row>
    <row r="959" spans="1:23" ht="12.75" customHeight="1" x14ac:dyDescent="0.25">
      <c r="A959" s="670"/>
      <c r="B959" s="670"/>
      <c r="C959" s="670"/>
      <c r="D959" s="670"/>
      <c r="E959" s="670"/>
      <c r="F959" s="670"/>
      <c r="G959" s="670"/>
      <c r="H959" s="670"/>
      <c r="I959" s="670"/>
      <c r="J959" s="670"/>
      <c r="K959" s="670"/>
      <c r="L959" s="670"/>
      <c r="M959" s="670"/>
      <c r="N959" s="670"/>
      <c r="O959" s="670"/>
      <c r="P959" s="670"/>
      <c r="Q959" s="670"/>
      <c r="R959" s="670"/>
      <c r="S959" s="670"/>
      <c r="T959" s="670"/>
      <c r="U959" s="670"/>
      <c r="V959" s="670"/>
      <c r="W959" s="670"/>
    </row>
    <row r="960" spans="1:23" ht="12.75" customHeight="1" x14ac:dyDescent="0.25">
      <c r="A960" s="670"/>
      <c r="B960" s="670"/>
      <c r="C960" s="670"/>
      <c r="D960" s="670"/>
      <c r="E960" s="670"/>
      <c r="F960" s="670"/>
      <c r="G960" s="670"/>
      <c r="H960" s="670"/>
      <c r="I960" s="670"/>
      <c r="J960" s="670"/>
      <c r="K960" s="670"/>
      <c r="L960" s="670"/>
      <c r="M960" s="670"/>
      <c r="N960" s="670"/>
      <c r="O960" s="670"/>
      <c r="P960" s="670"/>
      <c r="Q960" s="670"/>
      <c r="R960" s="670"/>
      <c r="S960" s="670"/>
      <c r="T960" s="670"/>
      <c r="U960" s="670"/>
      <c r="V960" s="670"/>
      <c r="W960" s="670"/>
    </row>
    <row r="961" spans="1:23" ht="12.75" customHeight="1" x14ac:dyDescent="0.25">
      <c r="A961" s="670"/>
      <c r="B961" s="670"/>
      <c r="C961" s="670"/>
      <c r="D961" s="670"/>
      <c r="E961" s="670"/>
      <c r="F961" s="670"/>
      <c r="G961" s="670"/>
      <c r="H961" s="670"/>
      <c r="I961" s="670"/>
      <c r="J961" s="670"/>
      <c r="K961" s="670"/>
      <c r="L961" s="670"/>
      <c r="M961" s="670"/>
      <c r="N961" s="670"/>
      <c r="O961" s="670"/>
      <c r="P961" s="670"/>
      <c r="Q961" s="670"/>
      <c r="R961" s="670"/>
      <c r="S961" s="670"/>
      <c r="T961" s="670"/>
      <c r="U961" s="670"/>
      <c r="V961" s="670"/>
      <c r="W961" s="670"/>
    </row>
    <row r="962" spans="1:23" ht="12.75" customHeight="1" x14ac:dyDescent="0.25">
      <c r="A962" s="670"/>
      <c r="B962" s="670"/>
      <c r="C962" s="670"/>
      <c r="D962" s="670"/>
      <c r="E962" s="670"/>
      <c r="F962" s="670"/>
      <c r="G962" s="670"/>
      <c r="H962" s="670"/>
      <c r="I962" s="670"/>
      <c r="J962" s="670"/>
      <c r="K962" s="670"/>
      <c r="L962" s="670"/>
      <c r="M962" s="670"/>
      <c r="N962" s="670"/>
      <c r="O962" s="670"/>
      <c r="P962" s="670"/>
      <c r="Q962" s="670"/>
      <c r="R962" s="670"/>
      <c r="S962" s="670"/>
      <c r="T962" s="670"/>
      <c r="U962" s="670"/>
      <c r="V962" s="670"/>
      <c r="W962" s="670"/>
    </row>
    <row r="963" spans="1:23" ht="12.75" customHeight="1" x14ac:dyDescent="0.25">
      <c r="A963" s="670"/>
      <c r="B963" s="670"/>
      <c r="C963" s="670"/>
      <c r="D963" s="670"/>
      <c r="E963" s="670"/>
      <c r="F963" s="670"/>
      <c r="G963" s="670"/>
      <c r="H963" s="670"/>
      <c r="I963" s="670"/>
      <c r="J963" s="670"/>
      <c r="K963" s="670"/>
      <c r="L963" s="670"/>
      <c r="M963" s="670"/>
      <c r="N963" s="670"/>
      <c r="O963" s="670"/>
      <c r="P963" s="670"/>
      <c r="Q963" s="670"/>
      <c r="R963" s="670"/>
      <c r="S963" s="670"/>
      <c r="T963" s="670"/>
      <c r="U963" s="670"/>
      <c r="V963" s="670"/>
      <c r="W963" s="670"/>
    </row>
    <row r="964" spans="1:23" ht="12.75" customHeight="1" x14ac:dyDescent="0.25">
      <c r="A964" s="670"/>
      <c r="B964" s="670"/>
      <c r="C964" s="670"/>
      <c r="D964" s="670"/>
      <c r="E964" s="670"/>
      <c r="F964" s="670"/>
      <c r="G964" s="670"/>
      <c r="H964" s="670"/>
      <c r="I964" s="670"/>
      <c r="J964" s="670"/>
      <c r="K964" s="670"/>
      <c r="L964" s="670"/>
      <c r="M964" s="670"/>
      <c r="N964" s="670"/>
      <c r="O964" s="670"/>
      <c r="P964" s="670"/>
      <c r="Q964" s="670"/>
      <c r="R964" s="670"/>
      <c r="S964" s="670"/>
      <c r="T964" s="670"/>
      <c r="U964" s="670"/>
      <c r="V964" s="670"/>
      <c r="W964" s="670"/>
    </row>
    <row r="965" spans="1:23" ht="12.75" customHeight="1" x14ac:dyDescent="0.25">
      <c r="A965" s="670"/>
      <c r="B965" s="670"/>
      <c r="C965" s="670"/>
      <c r="D965" s="670"/>
      <c r="E965" s="670"/>
      <c r="F965" s="670"/>
      <c r="G965" s="670"/>
      <c r="H965" s="670"/>
      <c r="I965" s="670"/>
      <c r="J965" s="670"/>
      <c r="K965" s="670"/>
      <c r="L965" s="670"/>
      <c r="M965" s="670"/>
      <c r="N965" s="670"/>
      <c r="O965" s="670"/>
      <c r="P965" s="670"/>
      <c r="Q965" s="670"/>
      <c r="R965" s="670"/>
      <c r="S965" s="670"/>
      <c r="T965" s="670"/>
      <c r="U965" s="670"/>
      <c r="V965" s="670"/>
      <c r="W965" s="670"/>
    </row>
    <row r="966" spans="1:23" ht="12.75" customHeight="1" x14ac:dyDescent="0.25">
      <c r="A966" s="670"/>
      <c r="B966" s="670"/>
      <c r="C966" s="670"/>
      <c r="D966" s="670"/>
      <c r="E966" s="670"/>
      <c r="F966" s="670"/>
      <c r="G966" s="670"/>
      <c r="H966" s="670"/>
      <c r="I966" s="670"/>
      <c r="J966" s="670"/>
      <c r="K966" s="670"/>
      <c r="L966" s="670"/>
      <c r="M966" s="670"/>
      <c r="N966" s="670"/>
      <c r="O966" s="670"/>
      <c r="P966" s="670"/>
      <c r="Q966" s="670"/>
      <c r="R966" s="670"/>
      <c r="S966" s="670"/>
      <c r="T966" s="670"/>
      <c r="U966" s="670"/>
      <c r="V966" s="670"/>
      <c r="W966" s="670"/>
    </row>
    <row r="967" spans="1:23" ht="12.75" customHeight="1" x14ac:dyDescent="0.25">
      <c r="A967" s="670"/>
      <c r="B967" s="670"/>
      <c r="C967" s="670"/>
      <c r="D967" s="670"/>
      <c r="E967" s="670"/>
      <c r="F967" s="670"/>
      <c r="G967" s="670"/>
      <c r="H967" s="670"/>
      <c r="I967" s="670"/>
      <c r="J967" s="670"/>
      <c r="K967" s="670"/>
      <c r="L967" s="670"/>
      <c r="M967" s="670"/>
      <c r="N967" s="670"/>
      <c r="O967" s="670"/>
      <c r="P967" s="670"/>
      <c r="Q967" s="670"/>
      <c r="R967" s="670"/>
      <c r="S967" s="670"/>
      <c r="T967" s="670"/>
      <c r="U967" s="670"/>
      <c r="V967" s="670"/>
      <c r="W967" s="670"/>
    </row>
    <row r="968" spans="1:23" ht="12.75" customHeight="1" x14ac:dyDescent="0.25">
      <c r="A968" s="670"/>
      <c r="B968" s="670"/>
      <c r="C968" s="670"/>
      <c r="D968" s="670"/>
      <c r="E968" s="670"/>
      <c r="F968" s="670"/>
      <c r="G968" s="670"/>
      <c r="H968" s="670"/>
      <c r="I968" s="670"/>
      <c r="J968" s="670"/>
      <c r="K968" s="670"/>
      <c r="L968" s="670"/>
      <c r="M968" s="670"/>
      <c r="N968" s="670"/>
      <c r="O968" s="670"/>
      <c r="P968" s="670"/>
      <c r="Q968" s="670"/>
      <c r="R968" s="670"/>
      <c r="S968" s="670"/>
      <c r="T968" s="670"/>
      <c r="U968" s="670"/>
      <c r="V968" s="670"/>
      <c r="W968" s="670"/>
    </row>
    <row r="969" spans="1:23" ht="12.75" customHeight="1" x14ac:dyDescent="0.25">
      <c r="A969" s="670"/>
      <c r="B969" s="670"/>
      <c r="C969" s="670"/>
      <c r="D969" s="670"/>
      <c r="E969" s="670"/>
      <c r="F969" s="670"/>
      <c r="G969" s="670"/>
      <c r="H969" s="670"/>
      <c r="I969" s="670"/>
      <c r="J969" s="670"/>
      <c r="K969" s="670"/>
      <c r="L969" s="670"/>
      <c r="M969" s="670"/>
      <c r="N969" s="670"/>
      <c r="O969" s="670"/>
      <c r="P969" s="670"/>
      <c r="Q969" s="670"/>
      <c r="R969" s="670"/>
      <c r="S969" s="670"/>
      <c r="T969" s="670"/>
      <c r="U969" s="670"/>
      <c r="V969" s="670"/>
      <c r="W969" s="670"/>
    </row>
    <row r="970" spans="1:23" ht="12.75" customHeight="1" x14ac:dyDescent="0.25">
      <c r="A970" s="670"/>
      <c r="B970" s="670"/>
      <c r="C970" s="670"/>
      <c r="D970" s="670"/>
      <c r="E970" s="670"/>
      <c r="F970" s="670"/>
      <c r="G970" s="670"/>
      <c r="H970" s="670"/>
      <c r="I970" s="670"/>
      <c r="J970" s="670"/>
      <c r="K970" s="670"/>
      <c r="L970" s="670"/>
      <c r="M970" s="670"/>
      <c r="N970" s="670"/>
      <c r="O970" s="670"/>
      <c r="P970" s="670"/>
      <c r="Q970" s="670"/>
      <c r="R970" s="670"/>
      <c r="S970" s="670"/>
      <c r="T970" s="670"/>
      <c r="U970" s="670"/>
      <c r="V970" s="670"/>
      <c r="W970" s="670"/>
    </row>
    <row r="971" spans="1:23" ht="12.75" customHeight="1" x14ac:dyDescent="0.25">
      <c r="A971" s="670"/>
      <c r="B971" s="670"/>
      <c r="C971" s="670"/>
      <c r="D971" s="670"/>
      <c r="E971" s="670"/>
      <c r="F971" s="670"/>
      <c r="G971" s="670"/>
      <c r="H971" s="670"/>
      <c r="I971" s="670"/>
      <c r="J971" s="670"/>
      <c r="K971" s="670"/>
      <c r="L971" s="670"/>
      <c r="M971" s="670"/>
      <c r="N971" s="670"/>
      <c r="O971" s="670"/>
      <c r="P971" s="670"/>
      <c r="Q971" s="670"/>
      <c r="R971" s="670"/>
      <c r="S971" s="670"/>
      <c r="T971" s="670"/>
      <c r="U971" s="670"/>
      <c r="V971" s="670"/>
      <c r="W971" s="670"/>
    </row>
    <row r="972" spans="1:23" ht="12.75" customHeight="1" x14ac:dyDescent="0.25">
      <c r="A972" s="670"/>
      <c r="B972" s="670"/>
      <c r="C972" s="670"/>
      <c r="D972" s="670"/>
      <c r="E972" s="670"/>
      <c r="F972" s="670"/>
      <c r="G972" s="670"/>
      <c r="H972" s="670"/>
      <c r="I972" s="670"/>
      <c r="J972" s="670"/>
      <c r="K972" s="670"/>
      <c r="L972" s="670"/>
      <c r="M972" s="670"/>
      <c r="N972" s="670"/>
      <c r="O972" s="670"/>
      <c r="P972" s="670"/>
      <c r="Q972" s="670"/>
      <c r="R972" s="670"/>
      <c r="S972" s="670"/>
      <c r="T972" s="670"/>
      <c r="U972" s="670"/>
      <c r="V972" s="670"/>
      <c r="W972" s="670"/>
    </row>
    <row r="973" spans="1:23" ht="12.75" customHeight="1" x14ac:dyDescent="0.25">
      <c r="A973" s="670"/>
      <c r="B973" s="670"/>
      <c r="C973" s="670"/>
      <c r="D973" s="670"/>
      <c r="E973" s="670"/>
      <c r="F973" s="670"/>
      <c r="G973" s="670"/>
      <c r="H973" s="670"/>
      <c r="I973" s="670"/>
      <c r="J973" s="670"/>
      <c r="K973" s="670"/>
      <c r="L973" s="670"/>
      <c r="M973" s="670"/>
      <c r="N973" s="670"/>
      <c r="O973" s="670"/>
      <c r="P973" s="670"/>
      <c r="Q973" s="670"/>
      <c r="R973" s="670"/>
      <c r="S973" s="670"/>
      <c r="T973" s="670"/>
      <c r="U973" s="670"/>
      <c r="V973" s="670"/>
      <c r="W973" s="670"/>
    </row>
    <row r="974" spans="1:23" ht="12.75" customHeight="1" x14ac:dyDescent="0.25">
      <c r="A974" s="670"/>
      <c r="B974" s="670"/>
      <c r="C974" s="670"/>
      <c r="D974" s="670"/>
      <c r="E974" s="670"/>
      <c r="F974" s="670"/>
      <c r="G974" s="670"/>
      <c r="H974" s="670"/>
      <c r="I974" s="670"/>
      <c r="J974" s="670"/>
      <c r="K974" s="670"/>
      <c r="L974" s="670"/>
      <c r="M974" s="670"/>
      <c r="N974" s="670"/>
      <c r="O974" s="670"/>
      <c r="P974" s="670"/>
      <c r="Q974" s="670"/>
      <c r="R974" s="670"/>
      <c r="S974" s="670"/>
      <c r="T974" s="670"/>
      <c r="U974" s="670"/>
      <c r="V974" s="670"/>
      <c r="W974" s="670"/>
    </row>
    <row r="975" spans="1:23" ht="12.75" customHeight="1" x14ac:dyDescent="0.25">
      <c r="A975" s="670"/>
      <c r="B975" s="670"/>
      <c r="C975" s="670"/>
      <c r="D975" s="670"/>
      <c r="E975" s="670"/>
      <c r="F975" s="670"/>
      <c r="G975" s="670"/>
      <c r="H975" s="670"/>
      <c r="I975" s="670"/>
      <c r="J975" s="670"/>
      <c r="K975" s="670"/>
      <c r="L975" s="670"/>
      <c r="M975" s="670"/>
      <c r="N975" s="670"/>
      <c r="O975" s="670"/>
      <c r="P975" s="670"/>
      <c r="Q975" s="670"/>
      <c r="R975" s="670"/>
      <c r="S975" s="670"/>
      <c r="T975" s="670"/>
      <c r="U975" s="670"/>
      <c r="V975" s="670"/>
      <c r="W975" s="670"/>
    </row>
    <row r="976" spans="1:23" ht="12.75" customHeight="1" x14ac:dyDescent="0.25">
      <c r="A976" s="670"/>
      <c r="B976" s="670"/>
      <c r="C976" s="670"/>
      <c r="D976" s="670"/>
      <c r="E976" s="670"/>
      <c r="F976" s="670"/>
      <c r="G976" s="670"/>
      <c r="H976" s="670"/>
      <c r="I976" s="670"/>
      <c r="J976" s="670"/>
      <c r="K976" s="670"/>
      <c r="L976" s="670"/>
      <c r="M976" s="670"/>
      <c r="N976" s="670"/>
      <c r="O976" s="670"/>
      <c r="P976" s="670"/>
      <c r="Q976" s="670"/>
      <c r="R976" s="670"/>
      <c r="S976" s="670"/>
      <c r="T976" s="670"/>
      <c r="U976" s="670"/>
      <c r="V976" s="670"/>
      <c r="W976" s="670"/>
    </row>
    <row r="977" spans="1:23" ht="12.75" customHeight="1" x14ac:dyDescent="0.25">
      <c r="A977" s="670"/>
      <c r="B977" s="670"/>
      <c r="C977" s="670"/>
      <c r="D977" s="670"/>
      <c r="E977" s="670"/>
      <c r="F977" s="670"/>
      <c r="G977" s="670"/>
      <c r="H977" s="670"/>
      <c r="I977" s="670"/>
      <c r="J977" s="670"/>
      <c r="K977" s="670"/>
      <c r="L977" s="670"/>
      <c r="M977" s="670"/>
      <c r="N977" s="670"/>
      <c r="O977" s="670"/>
      <c r="P977" s="670"/>
      <c r="Q977" s="670"/>
      <c r="R977" s="670"/>
      <c r="S977" s="670"/>
      <c r="T977" s="670"/>
      <c r="U977" s="670"/>
      <c r="V977" s="670"/>
      <c r="W977" s="670"/>
    </row>
    <row r="978" spans="1:23" ht="12.75" customHeight="1" x14ac:dyDescent="0.25">
      <c r="A978" s="670"/>
      <c r="B978" s="670"/>
      <c r="C978" s="670"/>
      <c r="D978" s="670"/>
      <c r="E978" s="670"/>
      <c r="F978" s="670"/>
      <c r="G978" s="670"/>
      <c r="H978" s="670"/>
      <c r="I978" s="670"/>
      <c r="J978" s="670"/>
      <c r="K978" s="670"/>
      <c r="L978" s="670"/>
      <c r="M978" s="670"/>
      <c r="N978" s="670"/>
      <c r="O978" s="670"/>
      <c r="P978" s="670"/>
      <c r="Q978" s="670"/>
      <c r="R978" s="670"/>
      <c r="S978" s="670"/>
      <c r="T978" s="670"/>
      <c r="U978" s="670"/>
      <c r="V978" s="670"/>
      <c r="W978" s="670"/>
    </row>
    <row r="979" spans="1:23" ht="12.75" customHeight="1" x14ac:dyDescent="0.25">
      <c r="A979" s="670"/>
      <c r="B979" s="670"/>
      <c r="C979" s="670"/>
      <c r="D979" s="670"/>
      <c r="E979" s="670"/>
      <c r="F979" s="670"/>
      <c r="G979" s="670"/>
      <c r="H979" s="670"/>
      <c r="I979" s="670"/>
      <c r="J979" s="670"/>
      <c r="K979" s="670"/>
      <c r="L979" s="670"/>
      <c r="M979" s="670"/>
      <c r="N979" s="670"/>
      <c r="O979" s="670"/>
      <c r="P979" s="670"/>
      <c r="Q979" s="670"/>
      <c r="R979" s="670"/>
      <c r="S979" s="670"/>
      <c r="T979" s="670"/>
      <c r="U979" s="670"/>
      <c r="V979" s="670"/>
      <c r="W979" s="670"/>
    </row>
    <row r="980" spans="1:23" ht="12.75" customHeight="1" x14ac:dyDescent="0.25">
      <c r="A980" s="670"/>
      <c r="B980" s="670"/>
      <c r="C980" s="670"/>
      <c r="D980" s="670"/>
      <c r="E980" s="670"/>
      <c r="F980" s="670"/>
      <c r="G980" s="670"/>
      <c r="H980" s="670"/>
      <c r="I980" s="670"/>
      <c r="J980" s="670"/>
      <c r="K980" s="670"/>
      <c r="L980" s="670"/>
      <c r="M980" s="670"/>
      <c r="N980" s="670"/>
      <c r="O980" s="670"/>
      <c r="P980" s="670"/>
      <c r="Q980" s="670"/>
      <c r="R980" s="670"/>
      <c r="S980" s="670"/>
      <c r="T980" s="670"/>
      <c r="U980" s="670"/>
      <c r="V980" s="670"/>
      <c r="W980" s="670"/>
    </row>
    <row r="981" spans="1:23" ht="12.75" customHeight="1" x14ac:dyDescent="0.25">
      <c r="A981" s="670"/>
      <c r="B981" s="670"/>
      <c r="C981" s="670"/>
      <c r="D981" s="670"/>
      <c r="E981" s="670"/>
      <c r="F981" s="670"/>
      <c r="G981" s="670"/>
      <c r="H981" s="670"/>
      <c r="I981" s="670"/>
      <c r="J981" s="670"/>
      <c r="K981" s="670"/>
      <c r="L981" s="670"/>
      <c r="M981" s="670"/>
      <c r="N981" s="670"/>
      <c r="O981" s="670"/>
      <c r="P981" s="670"/>
      <c r="Q981" s="670"/>
      <c r="R981" s="670"/>
      <c r="S981" s="670"/>
      <c r="T981" s="670"/>
      <c r="U981" s="670"/>
      <c r="V981" s="670"/>
      <c r="W981" s="670"/>
    </row>
    <row r="982" spans="1:23" ht="12.75" customHeight="1" x14ac:dyDescent="0.25">
      <c r="A982" s="670"/>
      <c r="B982" s="670"/>
      <c r="C982" s="670"/>
      <c r="D982" s="670"/>
      <c r="E982" s="670"/>
      <c r="F982" s="670"/>
      <c r="G982" s="670"/>
      <c r="H982" s="670"/>
      <c r="I982" s="670"/>
      <c r="J982" s="670"/>
      <c r="K982" s="670"/>
      <c r="L982" s="670"/>
      <c r="M982" s="670"/>
      <c r="N982" s="670"/>
      <c r="O982" s="670"/>
      <c r="P982" s="670"/>
      <c r="Q982" s="670"/>
      <c r="R982" s="670"/>
      <c r="S982" s="670"/>
      <c r="T982" s="670"/>
      <c r="U982" s="670"/>
      <c r="V982" s="670"/>
      <c r="W982" s="670"/>
    </row>
    <row r="983" spans="1:23" ht="12.75" customHeight="1" x14ac:dyDescent="0.25">
      <c r="A983" s="670"/>
      <c r="B983" s="670"/>
      <c r="C983" s="670"/>
      <c r="D983" s="670"/>
      <c r="E983" s="670"/>
      <c r="F983" s="670"/>
      <c r="G983" s="670"/>
      <c r="H983" s="670"/>
      <c r="I983" s="670"/>
      <c r="J983" s="670"/>
      <c r="K983" s="670"/>
      <c r="L983" s="670"/>
      <c r="M983" s="670"/>
      <c r="N983" s="670"/>
      <c r="O983" s="670"/>
      <c r="P983" s="670"/>
      <c r="Q983" s="670"/>
      <c r="R983" s="670"/>
      <c r="S983" s="670"/>
      <c r="T983" s="670"/>
      <c r="U983" s="670"/>
      <c r="V983" s="670"/>
      <c r="W983" s="670"/>
    </row>
    <row r="984" spans="1:23" ht="12.75" customHeight="1" x14ac:dyDescent="0.25">
      <c r="A984" s="670"/>
      <c r="B984" s="670"/>
      <c r="C984" s="670"/>
      <c r="D984" s="670"/>
      <c r="E984" s="670"/>
      <c r="F984" s="670"/>
      <c r="G984" s="670"/>
      <c r="H984" s="670"/>
      <c r="I984" s="670"/>
      <c r="J984" s="670"/>
      <c r="K984" s="670"/>
      <c r="L984" s="670"/>
      <c r="M984" s="670"/>
      <c r="N984" s="670"/>
      <c r="O984" s="670"/>
      <c r="P984" s="670"/>
      <c r="Q984" s="670"/>
      <c r="R984" s="670"/>
      <c r="S984" s="670"/>
      <c r="T984" s="670"/>
      <c r="U984" s="670"/>
      <c r="V984" s="670"/>
      <c r="W984" s="670"/>
    </row>
    <row r="985" spans="1:23" ht="12.75" customHeight="1" x14ac:dyDescent="0.25">
      <c r="A985" s="670"/>
      <c r="B985" s="670"/>
      <c r="C985" s="670"/>
      <c r="D985" s="670"/>
      <c r="E985" s="670"/>
      <c r="F985" s="670"/>
      <c r="G985" s="670"/>
      <c r="H985" s="670"/>
      <c r="I985" s="670"/>
      <c r="J985" s="670"/>
      <c r="K985" s="670"/>
      <c r="L985" s="670"/>
      <c r="M985" s="670"/>
      <c r="N985" s="670"/>
      <c r="O985" s="670"/>
      <c r="P985" s="670"/>
      <c r="Q985" s="670"/>
      <c r="R985" s="670"/>
      <c r="S985" s="670"/>
      <c r="T985" s="670"/>
      <c r="U985" s="670"/>
      <c r="V985" s="670"/>
      <c r="W985" s="670"/>
    </row>
  </sheetData>
  <mergeCells count="24">
    <mergeCell ref="H21:J21"/>
    <mergeCell ref="H22:J22"/>
    <mergeCell ref="H23:J23"/>
    <mergeCell ref="H16:J16"/>
    <mergeCell ref="H17:J17"/>
    <mergeCell ref="H18:J18"/>
    <mergeCell ref="H19:J19"/>
    <mergeCell ref="H20:J20"/>
    <mergeCell ref="B1:J1"/>
    <mergeCell ref="H2:J2"/>
    <mergeCell ref="B23:F23"/>
    <mergeCell ref="H3:J3"/>
    <mergeCell ref="H4:J4"/>
    <mergeCell ref="H5:J5"/>
    <mergeCell ref="H6:J6"/>
    <mergeCell ref="H7:J7"/>
    <mergeCell ref="H8:J8"/>
    <mergeCell ref="H9:J9"/>
    <mergeCell ref="H10:J10"/>
    <mergeCell ref="H11:J11"/>
    <mergeCell ref="H12:J12"/>
    <mergeCell ref="H13:J13"/>
    <mergeCell ref="H14:J14"/>
    <mergeCell ref="H15:J15"/>
  </mergeCells>
  <pageMargins left="0.7" right="0.7" top="0.75" bottom="0.75" header="0" footer="0"/>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BAB58-E8D7-43ED-BE66-C2CA092EF37C}">
  <dimension ref="B2:I44"/>
  <sheetViews>
    <sheetView showGridLines="0" topLeftCell="A22" workbookViewId="0">
      <selection activeCell="I27" sqref="I27"/>
    </sheetView>
  </sheetViews>
  <sheetFormatPr defaultColWidth="9.109375" defaultRowHeight="13.2" x14ac:dyDescent="0.25"/>
  <cols>
    <col min="1" max="1" width="11.109375" style="649" bestFit="1" customWidth="1"/>
    <col min="2" max="2" width="29.6640625" style="649" bestFit="1" customWidth="1"/>
    <col min="3" max="3" width="10.6640625" style="777" customWidth="1"/>
    <col min="4" max="4" width="11.33203125" style="777" bestFit="1" customWidth="1"/>
    <col min="5" max="5" width="6.88671875" style="649" bestFit="1" customWidth="1"/>
    <col min="6" max="6" width="11.88671875" style="649" bestFit="1" customWidth="1"/>
    <col min="7" max="7" width="7.33203125" style="649" bestFit="1" customWidth="1"/>
    <col min="8" max="8" width="9.109375" style="649"/>
    <col min="9" max="9" width="23.88671875" style="649" bestFit="1" customWidth="1"/>
    <col min="10" max="10" width="9.109375" style="649"/>
    <col min="11" max="11" width="11.88671875" style="649" bestFit="1" customWidth="1"/>
    <col min="12" max="16384" width="9.109375" style="649"/>
  </cols>
  <sheetData>
    <row r="2" spans="2:8" x14ac:dyDescent="0.25">
      <c r="B2" s="921" t="s">
        <v>74</v>
      </c>
      <c r="C2" s="923" t="s">
        <v>75</v>
      </c>
      <c r="D2" s="923"/>
      <c r="E2" s="923"/>
      <c r="F2" s="923" t="s">
        <v>76</v>
      </c>
      <c r="G2" s="923"/>
      <c r="H2" s="923"/>
    </row>
    <row r="3" spans="2:8" x14ac:dyDescent="0.25">
      <c r="B3" s="922"/>
      <c r="C3" s="771" t="s">
        <v>798</v>
      </c>
      <c r="D3" s="771" t="s">
        <v>799</v>
      </c>
      <c r="E3" s="772" t="s">
        <v>800</v>
      </c>
      <c r="F3" s="771" t="s">
        <v>798</v>
      </c>
      <c r="G3" s="771" t="s">
        <v>799</v>
      </c>
      <c r="H3" s="772" t="s">
        <v>800</v>
      </c>
    </row>
    <row r="4" spans="2:8" x14ac:dyDescent="0.25">
      <c r="B4" s="773" t="s">
        <v>801</v>
      </c>
      <c r="C4" s="656">
        <f>C5+C6</f>
        <v>70.843900000000005</v>
      </c>
      <c r="D4" s="656">
        <f>D5+D6</f>
        <v>68.082301200000003</v>
      </c>
      <c r="E4" s="653">
        <f>D4-C4</f>
        <v>-2.7615988000000016</v>
      </c>
      <c r="F4" s="656">
        <f>F5+F6</f>
        <v>68.920599999999993</v>
      </c>
      <c r="G4" s="656">
        <f>G5+G6</f>
        <v>67.671861500000006</v>
      </c>
      <c r="H4" s="653">
        <f>G4-F4</f>
        <v>-1.2487384999999875</v>
      </c>
    </row>
    <row r="5" spans="2:8" x14ac:dyDescent="0.25">
      <c r="B5" s="774" t="s">
        <v>802</v>
      </c>
      <c r="C5" s="657">
        <f>6808.39/100</f>
        <v>68.0839</v>
      </c>
      <c r="D5" s="657">
        <f>+'F11'!E14</f>
        <v>68.082301200000003</v>
      </c>
      <c r="E5" s="653"/>
      <c r="F5" s="657">
        <f>6767.33/100</f>
        <v>67.673299999999998</v>
      </c>
      <c r="G5" s="653">
        <f>+'F11'!H14</f>
        <v>67.671861500000006</v>
      </c>
      <c r="H5" s="653"/>
    </row>
    <row r="6" spans="2:8" ht="13.5" customHeight="1" x14ac:dyDescent="0.25">
      <c r="B6" s="774" t="s">
        <v>803</v>
      </c>
      <c r="C6" s="775">
        <v>2.76</v>
      </c>
      <c r="D6" s="657"/>
      <c r="E6" s="653">
        <f t="shared" ref="E6" si="0">D6-C6</f>
        <v>-2.76</v>
      </c>
      <c r="F6" s="657">
        <f>124.73/100</f>
        <v>1.2473000000000001</v>
      </c>
      <c r="G6" s="652"/>
      <c r="H6" s="653">
        <f t="shared" ref="H6" si="1">G6-F6</f>
        <v>-1.2473000000000001</v>
      </c>
    </row>
    <row r="7" spans="2:8" ht="13.5" customHeight="1" x14ac:dyDescent="0.25">
      <c r="B7" s="652"/>
      <c r="C7" s="657"/>
      <c r="D7" s="657"/>
      <c r="E7" s="652"/>
      <c r="F7" s="652"/>
      <c r="G7" s="652"/>
      <c r="H7" s="652"/>
    </row>
    <row r="8" spans="2:8" x14ac:dyDescent="0.25">
      <c r="B8" s="773" t="s">
        <v>804</v>
      </c>
      <c r="C8" s="656">
        <f t="shared" ref="C8:H8" si="2">SUM(C9:C15)</f>
        <v>6.0837999999999992</v>
      </c>
      <c r="D8" s="656">
        <f t="shared" si="2"/>
        <v>0</v>
      </c>
      <c r="E8" s="656">
        <f t="shared" si="2"/>
        <v>0</v>
      </c>
      <c r="F8" s="656">
        <f t="shared" si="2"/>
        <v>6.8278999999999996</v>
      </c>
      <c r="G8" s="656">
        <f t="shared" si="2"/>
        <v>0</v>
      </c>
      <c r="H8" s="656">
        <f t="shared" si="2"/>
        <v>0</v>
      </c>
    </row>
    <row r="9" spans="2:8" x14ac:dyDescent="0.25">
      <c r="B9" s="776" t="s">
        <v>805</v>
      </c>
      <c r="C9" s="657">
        <f>271.82/100</f>
        <v>2.7181999999999999</v>
      </c>
      <c r="D9" s="657"/>
      <c r="E9" s="657"/>
      <c r="F9" s="657"/>
      <c r="G9" s="652"/>
      <c r="H9" s="653"/>
    </row>
    <row r="10" spans="2:8" x14ac:dyDescent="0.25">
      <c r="B10" s="776" t="s">
        <v>898</v>
      </c>
      <c r="C10" s="657">
        <f>120.99/100</f>
        <v>1.2099</v>
      </c>
      <c r="D10" s="657"/>
      <c r="E10" s="657"/>
      <c r="F10" s="657">
        <f>128.09/100</f>
        <v>1.2808999999999999</v>
      </c>
      <c r="G10" s="652"/>
      <c r="H10" s="653"/>
    </row>
    <row r="11" spans="2:8" x14ac:dyDescent="0.25">
      <c r="B11" s="776" t="s">
        <v>899</v>
      </c>
      <c r="C11" s="657"/>
      <c r="D11" s="657"/>
      <c r="E11" s="657"/>
      <c r="F11" s="657"/>
      <c r="G11" s="657"/>
      <c r="H11" s="653"/>
    </row>
    <row r="12" spans="2:8" x14ac:dyDescent="0.25">
      <c r="B12" s="776" t="s">
        <v>806</v>
      </c>
      <c r="C12" s="657">
        <f>62.14/100</f>
        <v>0.62139999999999995</v>
      </c>
      <c r="D12" s="657"/>
      <c r="E12" s="657"/>
      <c r="F12" s="657">
        <f>298.77/100</f>
        <v>2.9876999999999998</v>
      </c>
      <c r="G12" s="652"/>
      <c r="H12" s="653"/>
    </row>
    <row r="13" spans="2:8" x14ac:dyDescent="0.25">
      <c r="B13" s="776" t="s">
        <v>807</v>
      </c>
      <c r="C13" s="657">
        <f>146.59/100</f>
        <v>1.4659</v>
      </c>
      <c r="D13" s="657"/>
      <c r="E13" s="657"/>
      <c r="F13" s="657"/>
      <c r="G13" s="652"/>
      <c r="H13" s="653"/>
    </row>
    <row r="14" spans="2:8" x14ac:dyDescent="0.25">
      <c r="B14" s="776" t="s">
        <v>1040</v>
      </c>
      <c r="C14" s="657">
        <f>6.84/100</f>
        <v>6.8400000000000002E-2</v>
      </c>
      <c r="D14" s="657">
        <f>+'F8'!E20</f>
        <v>0</v>
      </c>
      <c r="E14" s="657"/>
      <c r="F14" s="657">
        <f>255.93/100</f>
        <v>2.5592999999999999</v>
      </c>
      <c r="G14" s="655">
        <f>+'F8'!H20</f>
        <v>0</v>
      </c>
      <c r="H14" s="653"/>
    </row>
    <row r="15" spans="2:8" x14ac:dyDescent="0.25">
      <c r="B15" s="776" t="s">
        <v>900</v>
      </c>
      <c r="C15" s="657"/>
      <c r="D15" s="657"/>
      <c r="E15" s="657"/>
      <c r="F15" s="657"/>
      <c r="G15" s="652"/>
      <c r="H15" s="653"/>
    </row>
    <row r="16" spans="2:8" x14ac:dyDescent="0.25">
      <c r="B16" s="774"/>
      <c r="C16" s="657"/>
      <c r="D16" s="657"/>
      <c r="E16" s="657"/>
      <c r="F16" s="657"/>
      <c r="G16" s="652"/>
      <c r="H16" s="652"/>
    </row>
    <row r="17" spans="2:9" x14ac:dyDescent="0.25">
      <c r="B17" s="773" t="s">
        <v>809</v>
      </c>
      <c r="C17" s="656">
        <f>C4+C8</f>
        <v>76.927700000000002</v>
      </c>
      <c r="D17" s="657"/>
      <c r="E17" s="652"/>
      <c r="F17" s="656">
        <f>F4+F8</f>
        <v>75.748499999999993</v>
      </c>
      <c r="G17" s="652"/>
      <c r="H17" s="652"/>
    </row>
    <row r="18" spans="2:9" x14ac:dyDescent="0.25">
      <c r="B18" s="773"/>
      <c r="C18" s="657"/>
      <c r="D18" s="657"/>
      <c r="E18" s="652"/>
      <c r="F18" s="652"/>
      <c r="G18" s="652"/>
      <c r="H18" s="652"/>
    </row>
    <row r="19" spans="2:9" x14ac:dyDescent="0.25">
      <c r="B19" s="773"/>
      <c r="C19" s="657"/>
      <c r="D19" s="657"/>
      <c r="E19" s="652"/>
      <c r="F19" s="652"/>
      <c r="G19" s="652"/>
      <c r="H19" s="652"/>
    </row>
    <row r="20" spans="2:9" x14ac:dyDescent="0.25">
      <c r="B20" s="652" t="s">
        <v>12</v>
      </c>
      <c r="C20" s="657">
        <f>173.03/100</f>
        <v>1.7302999999999999</v>
      </c>
      <c r="D20" s="657">
        <f>+'F2.3'!D36</f>
        <v>1.730015458</v>
      </c>
      <c r="E20" s="653"/>
      <c r="F20" s="775">
        <f>180.7/100</f>
        <v>1.8069999999999999</v>
      </c>
      <c r="G20" s="657">
        <f>+'F2.3'!E36</f>
        <v>1.8072690000000002</v>
      </c>
      <c r="H20" s="653"/>
    </row>
    <row r="21" spans="2:9" x14ac:dyDescent="0.25">
      <c r="B21" s="652" t="s">
        <v>810</v>
      </c>
      <c r="C21" s="657"/>
      <c r="D21" s="657">
        <f>+'F5'!E21</f>
        <v>7.8005012512642118</v>
      </c>
      <c r="E21" s="653"/>
      <c r="F21" s="652"/>
      <c r="G21" s="653">
        <f>+'F5'!H21</f>
        <v>5.5479451003515639</v>
      </c>
      <c r="H21" s="653"/>
    </row>
    <row r="22" spans="2:9" x14ac:dyDescent="0.25">
      <c r="B22" s="652" t="s">
        <v>473</v>
      </c>
      <c r="C22" s="657">
        <v>1.0287229579999999</v>
      </c>
      <c r="D22" s="657">
        <f>+Sharing!D6</f>
        <v>1.0287229579999999</v>
      </c>
      <c r="E22" s="653"/>
      <c r="F22" s="775">
        <v>0.76717030499999994</v>
      </c>
      <c r="G22" s="653">
        <f>+Sharing!D11</f>
        <v>0.76717030499999994</v>
      </c>
      <c r="H22" s="653"/>
    </row>
    <row r="23" spans="2:9" x14ac:dyDescent="0.25">
      <c r="B23" s="652" t="s">
        <v>811</v>
      </c>
      <c r="C23" s="657">
        <v>2.8487219999999997E-3</v>
      </c>
      <c r="D23" s="657">
        <f>+'F5'!E22</f>
        <v>2.8487219999999997E-3</v>
      </c>
      <c r="E23" s="652"/>
      <c r="F23" s="775">
        <v>1.6355060000000021E-3</v>
      </c>
      <c r="G23" s="653">
        <f>+'F5'!H22</f>
        <v>1.6355060000000021E-3</v>
      </c>
      <c r="H23" s="652"/>
    </row>
    <row r="24" spans="2:9" x14ac:dyDescent="0.25">
      <c r="B24" s="652" t="s">
        <v>812</v>
      </c>
      <c r="C24" s="657"/>
      <c r="D24" s="657"/>
      <c r="E24" s="652"/>
      <c r="F24" s="775">
        <v>2.1371500000000002E-2</v>
      </c>
      <c r="G24" s="652"/>
      <c r="H24" s="652"/>
    </row>
    <row r="25" spans="2:9" x14ac:dyDescent="0.25">
      <c r="B25" s="652" t="s">
        <v>813</v>
      </c>
      <c r="C25" s="657"/>
      <c r="D25" s="657"/>
      <c r="E25" s="652"/>
      <c r="F25" s="652"/>
      <c r="G25" s="652"/>
      <c r="H25" s="652"/>
    </row>
    <row r="26" spans="2:9" ht="26.4" x14ac:dyDescent="0.25">
      <c r="B26" s="660" t="s">
        <v>814</v>
      </c>
      <c r="C26" s="657"/>
      <c r="D26" s="657"/>
      <c r="E26" s="652"/>
      <c r="F26" s="652"/>
      <c r="G26" s="652"/>
      <c r="H26" s="652"/>
    </row>
    <row r="27" spans="2:9" x14ac:dyDescent="0.25">
      <c r="B27" s="652" t="s">
        <v>815</v>
      </c>
      <c r="C27" s="657">
        <v>29.2836</v>
      </c>
      <c r="D27" s="657">
        <f>+'F4 '!E57</f>
        <v>29.219266733030455</v>
      </c>
      <c r="E27" s="652"/>
      <c r="F27" s="775">
        <v>29.419</v>
      </c>
      <c r="G27" s="653">
        <f>+'F4 '!I57</f>
        <v>29.320062531331455</v>
      </c>
      <c r="H27" s="653"/>
    </row>
    <row r="28" spans="2:9" x14ac:dyDescent="0.25">
      <c r="B28" s="652" t="s">
        <v>816</v>
      </c>
      <c r="C28" s="657">
        <f>513.13/100-C30</f>
        <v>4.4592999999999998</v>
      </c>
      <c r="D28" s="657">
        <f>+'F2.4'!D40+'F2.5'!D19</f>
        <v>4.4592137690000007</v>
      </c>
      <c r="E28" s="653"/>
      <c r="F28" s="775">
        <f>464.74/100-F30</f>
        <v>3.9374000000000002</v>
      </c>
      <c r="G28" s="653">
        <f>+'F2.4'!E40+'F2.5'!E19</f>
        <v>3.9374112999999999</v>
      </c>
      <c r="H28" s="653"/>
      <c r="I28" s="655"/>
    </row>
    <row r="29" spans="2:9" x14ac:dyDescent="0.25">
      <c r="B29" s="652" t="s">
        <v>853</v>
      </c>
      <c r="C29" s="657"/>
      <c r="D29" s="657"/>
      <c r="E29" s="653"/>
      <c r="F29" s="652"/>
      <c r="G29" s="653"/>
      <c r="H29" s="653"/>
      <c r="I29" s="655"/>
    </row>
    <row r="30" spans="2:9" x14ac:dyDescent="0.25">
      <c r="B30" s="652" t="s">
        <v>817</v>
      </c>
      <c r="C30" s="657">
        <f>67.2/100</f>
        <v>0.67200000000000004</v>
      </c>
      <c r="D30" s="657"/>
      <c r="E30" s="652"/>
      <c r="F30" s="652">
        <f>71/100</f>
        <v>0.71</v>
      </c>
      <c r="G30" s="652"/>
      <c r="H30" s="653"/>
    </row>
    <row r="31" spans="2:9" x14ac:dyDescent="0.25">
      <c r="B31" s="654" t="s">
        <v>818</v>
      </c>
      <c r="C31" s="656">
        <f>SUM(C20:C30)</f>
        <v>37.176771679999995</v>
      </c>
      <c r="D31" s="656">
        <f>SUM(D20:D30)</f>
        <v>44.240568891294672</v>
      </c>
      <c r="E31" s="652"/>
      <c r="F31" s="656">
        <f>SUM(F20:F30)</f>
        <v>36.663577311000004</v>
      </c>
      <c r="G31" s="656">
        <f>SUM(G20:G30)</f>
        <v>41.38149374268302</v>
      </c>
      <c r="H31" s="652"/>
    </row>
    <row r="32" spans="2:9" x14ac:dyDescent="0.25">
      <c r="B32" s="652" t="s">
        <v>819</v>
      </c>
      <c r="C32" s="656">
        <f>C17-C31</f>
        <v>39.750928320000007</v>
      </c>
      <c r="D32" s="657"/>
      <c r="E32" s="652"/>
      <c r="F32" s="656">
        <f>F17-F31</f>
        <v>39.084922688999988</v>
      </c>
      <c r="G32" s="652"/>
      <c r="H32" s="652"/>
    </row>
    <row r="33" spans="2:8" x14ac:dyDescent="0.25">
      <c r="B33" s="652"/>
      <c r="C33" s="657"/>
      <c r="D33" s="657"/>
      <c r="E33" s="652"/>
      <c r="F33" s="652"/>
      <c r="G33" s="652"/>
      <c r="H33" s="652"/>
    </row>
    <row r="34" spans="2:8" x14ac:dyDescent="0.25">
      <c r="B34" s="652" t="s">
        <v>820</v>
      </c>
      <c r="C34" s="657">
        <f>694.53/100</f>
        <v>6.9452999999999996</v>
      </c>
      <c r="D34" s="657">
        <f>+'F9'!E8</f>
        <v>6.9470711999999999</v>
      </c>
      <c r="E34" s="653"/>
      <c r="F34" s="657">
        <f>682.89/100</f>
        <v>6.8289</v>
      </c>
      <c r="G34" s="653">
        <f>+'F9'!F8</f>
        <v>6.8264224582444788</v>
      </c>
      <c r="H34" s="653"/>
    </row>
    <row r="35" spans="2:8" x14ac:dyDescent="0.25">
      <c r="B35" s="652" t="s">
        <v>821</v>
      </c>
      <c r="C35" s="657"/>
      <c r="D35" s="657"/>
      <c r="E35" s="652"/>
      <c r="F35" s="657"/>
      <c r="G35" s="652"/>
      <c r="H35" s="652"/>
    </row>
    <row r="36" spans="2:8" x14ac:dyDescent="0.25">
      <c r="B36" s="652" t="s">
        <v>822</v>
      </c>
      <c r="C36" s="657"/>
      <c r="D36" s="657"/>
      <c r="E36" s="652"/>
      <c r="F36" s="657"/>
      <c r="G36" s="652"/>
      <c r="H36" s="652"/>
    </row>
    <row r="37" spans="2:8" x14ac:dyDescent="0.25">
      <c r="B37" s="652" t="s">
        <v>823</v>
      </c>
      <c r="C37" s="657"/>
      <c r="D37" s="657"/>
      <c r="E37" s="652"/>
      <c r="F37" s="652"/>
      <c r="G37" s="652"/>
      <c r="H37" s="652"/>
    </row>
    <row r="38" spans="2:8" x14ac:dyDescent="0.25">
      <c r="B38" s="654" t="s">
        <v>824</v>
      </c>
      <c r="C38" s="656">
        <f>C32-SUM(C34:C37)</f>
        <v>32.805628320000011</v>
      </c>
      <c r="D38" s="657"/>
      <c r="E38" s="652"/>
      <c r="F38" s="656">
        <f>F32-SUM(F34:F37)</f>
        <v>32.256022688999991</v>
      </c>
      <c r="G38" s="652"/>
      <c r="H38" s="652"/>
    </row>
    <row r="39" spans="2:8" x14ac:dyDescent="0.25">
      <c r="B39" s="652"/>
      <c r="C39" s="657"/>
      <c r="D39" s="657"/>
      <c r="E39" s="652"/>
      <c r="F39" s="652"/>
      <c r="G39" s="652"/>
      <c r="H39" s="652"/>
    </row>
    <row r="40" spans="2:8" x14ac:dyDescent="0.25">
      <c r="B40" s="652" t="s">
        <v>825</v>
      </c>
      <c r="C40" s="657"/>
      <c r="D40" s="657"/>
      <c r="E40" s="652"/>
      <c r="F40" s="652"/>
      <c r="G40" s="652"/>
      <c r="H40" s="652"/>
    </row>
    <row r="41" spans="2:8" ht="26.4" x14ac:dyDescent="0.25">
      <c r="B41" s="851" t="s">
        <v>830</v>
      </c>
      <c r="C41" s="658">
        <f>+(1.02-0.18)/100</f>
        <v>8.4000000000000012E-3</v>
      </c>
      <c r="D41" s="658"/>
      <c r="E41" s="652"/>
      <c r="F41" s="658">
        <f>(-1.43+0.25)/100</f>
        <v>-1.18E-2</v>
      </c>
      <c r="G41" s="652"/>
      <c r="H41" s="652"/>
    </row>
    <row r="42" spans="2:8" x14ac:dyDescent="0.25">
      <c r="B42" s="774" t="s">
        <v>826</v>
      </c>
      <c r="C42" s="658"/>
      <c r="D42" s="658"/>
      <c r="E42" s="652"/>
      <c r="F42" s="658"/>
      <c r="G42" s="652"/>
      <c r="H42" s="652"/>
    </row>
    <row r="43" spans="2:8" x14ac:dyDescent="0.25">
      <c r="B43" s="652"/>
      <c r="C43" s="658"/>
      <c r="D43" s="658"/>
      <c r="E43" s="652"/>
      <c r="F43" s="652"/>
      <c r="G43" s="652"/>
      <c r="H43" s="652"/>
    </row>
    <row r="44" spans="2:8" x14ac:dyDescent="0.25">
      <c r="B44" s="654" t="s">
        <v>809</v>
      </c>
      <c r="C44" s="656">
        <f>C38+C41+C42</f>
        <v>32.814028320000013</v>
      </c>
      <c r="D44" s="657"/>
      <c r="E44" s="652"/>
      <c r="F44" s="656">
        <f>F38+F41+F42</f>
        <v>32.24422268899999</v>
      </c>
      <c r="G44" s="652"/>
      <c r="H44" s="652"/>
    </row>
  </sheetData>
  <mergeCells count="3">
    <mergeCell ref="B2:B3"/>
    <mergeCell ref="C2:E2"/>
    <mergeCell ref="F2:H2"/>
  </mergeCells>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B4A81-BC10-4E9F-A91F-995708623657}">
  <sheetPr>
    <pageSetUpPr fitToPage="1"/>
  </sheetPr>
  <dimension ref="B1:L32"/>
  <sheetViews>
    <sheetView showGridLines="0" view="pageBreakPreview" zoomScale="90" zoomScaleNormal="75" zoomScaleSheetLayoutView="90" workbookViewId="0">
      <selection activeCell="J15" sqref="J15"/>
    </sheetView>
  </sheetViews>
  <sheetFormatPr defaultColWidth="9.33203125" defaultRowHeight="13.8" x14ac:dyDescent="0.25"/>
  <cols>
    <col min="1" max="1" width="6.6640625" style="279" customWidth="1"/>
    <col min="2" max="2" width="6.5546875" style="280" customWidth="1"/>
    <col min="3" max="3" width="49" style="279" customWidth="1"/>
    <col min="4" max="5" width="14.33203125" style="279" customWidth="1"/>
    <col min="6" max="7" width="12.6640625" style="279" customWidth="1"/>
    <col min="8" max="20" width="13.6640625" style="279" customWidth="1"/>
    <col min="21" max="16384" width="9.33203125" style="279"/>
  </cols>
  <sheetData>
    <row r="1" spans="2:9" x14ac:dyDescent="0.25">
      <c r="C1" s="482"/>
      <c r="D1" s="482"/>
      <c r="E1" s="482"/>
    </row>
    <row r="2" spans="2:9" x14ac:dyDescent="0.25">
      <c r="C2" s="482"/>
      <c r="D2" s="482"/>
      <c r="E2" s="482"/>
      <c r="F2" s="172" t="str">
        <f>Index!B2</f>
        <v>JAIGAD POWER TRANSCO LIMITED (JPTL)</v>
      </c>
      <c r="G2" s="172"/>
    </row>
    <row r="3" spans="2:9" x14ac:dyDescent="0.25">
      <c r="C3" s="482"/>
      <c r="D3" s="482"/>
      <c r="E3" s="482"/>
      <c r="F3" s="233" t="s">
        <v>0</v>
      </c>
      <c r="G3" s="233"/>
    </row>
    <row r="4" spans="2:9" x14ac:dyDescent="0.25">
      <c r="C4" s="482"/>
      <c r="D4" s="482"/>
      <c r="E4" s="482"/>
      <c r="F4" s="458" t="s">
        <v>519</v>
      </c>
      <c r="G4" s="458"/>
    </row>
    <row r="6" spans="2:9" ht="27.6" x14ac:dyDescent="0.25">
      <c r="B6" s="418" t="s">
        <v>1</v>
      </c>
      <c r="C6" s="418" t="s">
        <v>74</v>
      </c>
      <c r="D6" s="419" t="s">
        <v>520</v>
      </c>
      <c r="E6" s="419" t="s">
        <v>75</v>
      </c>
      <c r="F6" s="419" t="s">
        <v>76</v>
      </c>
      <c r="G6" s="418" t="s">
        <v>521</v>
      </c>
    </row>
    <row r="7" spans="2:9" x14ac:dyDescent="0.25">
      <c r="B7" s="437">
        <v>1</v>
      </c>
      <c r="C7" s="505" t="s">
        <v>522</v>
      </c>
      <c r="D7" s="506" t="s">
        <v>92</v>
      </c>
      <c r="E7" s="537">
        <f>397611680/10^7</f>
        <v>39.761167999999998</v>
      </c>
      <c r="F7" s="537">
        <v>39.070641358999993</v>
      </c>
      <c r="G7" s="432"/>
    </row>
    <row r="8" spans="2:9" x14ac:dyDescent="0.25">
      <c r="B8" s="437">
        <f>B7+1</f>
        <v>2</v>
      </c>
      <c r="C8" s="505" t="s">
        <v>523</v>
      </c>
      <c r="D8" s="506" t="s">
        <v>93</v>
      </c>
      <c r="E8" s="537">
        <f>69470712/10^7</f>
        <v>6.9470711999999999</v>
      </c>
      <c r="F8" s="537">
        <v>6.8264224582444788</v>
      </c>
      <c r="G8" s="432"/>
    </row>
    <row r="9" spans="2:9" x14ac:dyDescent="0.25">
      <c r="B9" s="437">
        <f>B8+1</f>
        <v>3</v>
      </c>
      <c r="C9" s="505" t="s">
        <v>524</v>
      </c>
      <c r="D9" s="506" t="s">
        <v>525</v>
      </c>
      <c r="E9" s="564">
        <f>+E8/E7</f>
        <v>0.17471999816504385</v>
      </c>
      <c r="F9" s="564">
        <f>+F8/F7</f>
        <v>0.17472000000000001</v>
      </c>
      <c r="G9" s="564">
        <f>+F9</f>
        <v>0.17472000000000001</v>
      </c>
      <c r="I9" s="592"/>
    </row>
    <row r="10" spans="2:9" x14ac:dyDescent="0.25">
      <c r="B10" s="437"/>
      <c r="C10" s="507"/>
      <c r="D10" s="507"/>
      <c r="E10" s="432"/>
      <c r="F10" s="432"/>
      <c r="G10" s="432"/>
    </row>
    <row r="11" spans="2:9" x14ac:dyDescent="0.25">
      <c r="B11" s="437">
        <v>4</v>
      </c>
      <c r="C11" s="505" t="s">
        <v>526</v>
      </c>
      <c r="D11" s="506" t="s">
        <v>95</v>
      </c>
      <c r="E11" s="568">
        <f>+Assum!D9</f>
        <v>0.14000000000000001</v>
      </c>
      <c r="F11" s="568">
        <f>+Assum!E9</f>
        <v>0.14000000000000001</v>
      </c>
      <c r="G11" s="568">
        <f>+Assum!F9</f>
        <v>0.14000000000000001</v>
      </c>
    </row>
    <row r="12" spans="2:9" x14ac:dyDescent="0.25">
      <c r="B12" s="437">
        <v>5</v>
      </c>
      <c r="C12" s="505" t="s">
        <v>527</v>
      </c>
      <c r="D12" s="506" t="s">
        <v>528</v>
      </c>
      <c r="E12" s="568">
        <f>+'F7'!E33</f>
        <v>1.1099999999999936E-2</v>
      </c>
      <c r="F12" s="568">
        <f>+'F7'!F33</f>
        <v>1.4999999999999999E-2</v>
      </c>
      <c r="G12" s="564">
        <v>0</v>
      </c>
    </row>
    <row r="13" spans="2:9" x14ac:dyDescent="0.25">
      <c r="B13" s="437">
        <v>6</v>
      </c>
      <c r="C13" s="505" t="s">
        <v>529</v>
      </c>
      <c r="D13" s="506" t="s">
        <v>530</v>
      </c>
      <c r="E13" s="568">
        <f>+E11+E12</f>
        <v>0.15109999999999996</v>
      </c>
      <c r="F13" s="568">
        <f t="shared" ref="F13:G13" si="0">+F11+F12</f>
        <v>0.15500000000000003</v>
      </c>
      <c r="G13" s="568">
        <f t="shared" si="0"/>
        <v>0.14000000000000001</v>
      </c>
    </row>
    <row r="14" spans="2:9" x14ac:dyDescent="0.25">
      <c r="B14" s="437">
        <v>7</v>
      </c>
      <c r="C14" s="507" t="s">
        <v>531</v>
      </c>
      <c r="D14" s="508" t="s">
        <v>532</v>
      </c>
      <c r="E14" s="564">
        <f>+E13/(1-E9)</f>
        <v>0.18308937531993866</v>
      </c>
      <c r="F14" s="564">
        <f t="shared" ref="F14:G14" si="1">+F13/(1-F9)</f>
        <v>0.18781504459092674</v>
      </c>
      <c r="G14" s="564">
        <f t="shared" si="1"/>
        <v>0.16963939511438544</v>
      </c>
    </row>
    <row r="15" spans="2:9" x14ac:dyDescent="0.25">
      <c r="C15" s="487"/>
      <c r="D15" s="488"/>
    </row>
    <row r="16" spans="2:9" x14ac:dyDescent="0.25">
      <c r="C16" s="279" t="s">
        <v>533</v>
      </c>
    </row>
    <row r="17" spans="2:12" x14ac:dyDescent="0.25">
      <c r="C17" s="1139" t="s">
        <v>534</v>
      </c>
      <c r="D17" s="1139"/>
      <c r="E17" s="1139"/>
      <c r="F17" s="1139"/>
      <c r="G17" s="1139"/>
      <c r="H17" s="1139"/>
      <c r="I17" s="1139"/>
    </row>
    <row r="18" spans="2:12" x14ac:dyDescent="0.25">
      <c r="C18" s="279" t="s">
        <v>535</v>
      </c>
    </row>
    <row r="19" spans="2:12" x14ac:dyDescent="0.25">
      <c r="C19" s="279" t="s">
        <v>536</v>
      </c>
    </row>
    <row r="21" spans="2:12" x14ac:dyDescent="0.25">
      <c r="C21" s="489"/>
      <c r="D21" s="489"/>
      <c r="E21" s="489"/>
      <c r="F21" s="490"/>
      <c r="G21" s="490"/>
      <c r="H21" s="490"/>
      <c r="I21" s="490"/>
      <c r="J21" s="490"/>
      <c r="K21" s="490"/>
      <c r="L21" s="490"/>
    </row>
    <row r="23" spans="2:12" ht="13.95" customHeight="1" x14ac:dyDescent="0.25">
      <c r="B23" s="1150" t="s">
        <v>537</v>
      </c>
      <c r="C23" s="1150"/>
      <c r="D23" s="1150"/>
      <c r="E23" s="1150"/>
      <c r="F23" s="1150"/>
      <c r="G23" s="1150"/>
      <c r="H23" s="1150"/>
      <c r="I23" s="1150"/>
      <c r="J23" s="436"/>
      <c r="K23" s="436"/>
    </row>
    <row r="24" spans="2:12" x14ac:dyDescent="0.25">
      <c r="B24" s="279"/>
    </row>
    <row r="25" spans="2:12" ht="27.6" x14ac:dyDescent="0.25">
      <c r="B25" s="418" t="s">
        <v>1</v>
      </c>
      <c r="C25" s="418" t="s">
        <v>74</v>
      </c>
      <c r="D25" s="419" t="s">
        <v>520</v>
      </c>
      <c r="E25" s="419" t="s">
        <v>87</v>
      </c>
      <c r="F25" s="419" t="s">
        <v>88</v>
      </c>
      <c r="G25" s="418" t="s">
        <v>89</v>
      </c>
      <c r="H25" s="418" t="s">
        <v>90</v>
      </c>
      <c r="I25" s="418" t="s">
        <v>91</v>
      </c>
    </row>
    <row r="26" spans="2:12" x14ac:dyDescent="0.25">
      <c r="B26" s="437">
        <v>1</v>
      </c>
      <c r="C26" s="483" t="s">
        <v>538</v>
      </c>
      <c r="D26" s="484" t="s">
        <v>92</v>
      </c>
      <c r="E26" s="569">
        <f>+$F$9</f>
        <v>0.17472000000000001</v>
      </c>
      <c r="F26" s="569">
        <f t="shared" ref="F26:I26" si="2">+$F$9</f>
        <v>0.17472000000000001</v>
      </c>
      <c r="G26" s="569">
        <f t="shared" si="2"/>
        <v>0.17472000000000001</v>
      </c>
      <c r="H26" s="569">
        <f t="shared" si="2"/>
        <v>0.17472000000000001</v>
      </c>
      <c r="I26" s="569">
        <f t="shared" si="2"/>
        <v>0.17472000000000001</v>
      </c>
    </row>
    <row r="27" spans="2:12" x14ac:dyDescent="0.25">
      <c r="B27" s="437"/>
      <c r="C27" s="485"/>
      <c r="D27" s="485"/>
      <c r="E27" s="483"/>
      <c r="F27" s="509"/>
      <c r="G27" s="509"/>
      <c r="H27" s="483"/>
      <c r="I27" s="509"/>
    </row>
    <row r="28" spans="2:12" x14ac:dyDescent="0.25">
      <c r="B28" s="437">
        <v>2</v>
      </c>
      <c r="C28" s="483" t="s">
        <v>539</v>
      </c>
      <c r="D28" s="484" t="s">
        <v>93</v>
      </c>
      <c r="E28" s="569">
        <f>+Assum!G9</f>
        <v>0.155</v>
      </c>
      <c r="F28" s="569">
        <f>+Assum!H9</f>
        <v>0.155</v>
      </c>
      <c r="G28" s="569">
        <f>+Assum!I9</f>
        <v>0.155</v>
      </c>
      <c r="H28" s="569">
        <f>+Assum!J9</f>
        <v>0.155</v>
      </c>
      <c r="I28" s="569">
        <f>+Assum!K9</f>
        <v>0.155</v>
      </c>
    </row>
    <row r="29" spans="2:12" x14ac:dyDescent="0.25">
      <c r="B29" s="437">
        <v>3</v>
      </c>
      <c r="C29" s="485" t="s">
        <v>531</v>
      </c>
      <c r="D29" s="486" t="s">
        <v>540</v>
      </c>
      <c r="E29" s="570">
        <f>+E28/(1-E26)</f>
        <v>0.18781504459092671</v>
      </c>
      <c r="F29" s="570">
        <f t="shared" ref="F29:I29" si="3">+F28/(1-F26)</f>
        <v>0.18781504459092671</v>
      </c>
      <c r="G29" s="570">
        <f t="shared" si="3"/>
        <v>0.18781504459092671</v>
      </c>
      <c r="H29" s="570">
        <f t="shared" si="3"/>
        <v>0.18781504459092671</v>
      </c>
      <c r="I29" s="570">
        <f t="shared" si="3"/>
        <v>0.18781504459092671</v>
      </c>
    </row>
    <row r="30" spans="2:12" x14ac:dyDescent="0.25">
      <c r="B30" s="279"/>
    </row>
    <row r="31" spans="2:12" x14ac:dyDescent="0.25">
      <c r="B31" s="279"/>
      <c r="C31" s="1151" t="s">
        <v>541</v>
      </c>
      <c r="D31" s="1139"/>
      <c r="E31" s="1139"/>
      <c r="F31" s="1139"/>
      <c r="G31" s="1139"/>
      <c r="H31" s="1139"/>
      <c r="I31" s="1139"/>
      <c r="J31" s="1139"/>
      <c r="K31" s="1139"/>
    </row>
    <row r="32" spans="2:12" x14ac:dyDescent="0.25">
      <c r="B32" s="279"/>
      <c r="C32" s="279" t="s">
        <v>542</v>
      </c>
    </row>
  </sheetData>
  <mergeCells count="3">
    <mergeCell ref="C17:I17"/>
    <mergeCell ref="B23:I23"/>
    <mergeCell ref="C31:K31"/>
  </mergeCells>
  <pageMargins left="0.38" right="0.23622047244094491" top="0.56000000000000005" bottom="0.98425196850393704" header="0.23622047244094491" footer="0.23622047244094491"/>
  <pageSetup paperSize="9" scale="95" orientation="landscape" r:id="rId1"/>
  <headerFooter alignWithMargins="0"/>
  <colBreaks count="1" manualBreakCount="1">
    <brk id="10" max="19"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2:R20"/>
  <sheetViews>
    <sheetView showGridLines="0" view="pageBreakPreview" zoomScale="76" zoomScaleNormal="75" workbookViewId="0">
      <selection activeCell="L11" sqref="L11"/>
    </sheetView>
  </sheetViews>
  <sheetFormatPr defaultColWidth="9.33203125" defaultRowHeight="13.8" x14ac:dyDescent="0.25"/>
  <cols>
    <col min="1" max="1" width="6.6640625" style="19" customWidth="1"/>
    <col min="2" max="2" width="9.33203125" style="121" customWidth="1"/>
    <col min="3" max="3" width="36.44140625" style="148" customWidth="1"/>
    <col min="4" max="4" width="9.6640625" style="148" customWidth="1"/>
    <col min="5" max="5" width="12.5546875" style="148" customWidth="1"/>
    <col min="6" max="6" width="12.33203125" style="148" customWidth="1"/>
    <col min="7" max="7" width="8.6640625" style="19" customWidth="1"/>
    <col min="8" max="8" width="11.88671875" style="19" customWidth="1"/>
    <col min="9" max="9" width="12.6640625" style="19" customWidth="1"/>
    <col min="10" max="10" width="8.33203125" style="19" customWidth="1"/>
    <col min="11" max="11" width="13" style="19" customWidth="1"/>
    <col min="12" max="12" width="17" style="19" customWidth="1"/>
    <col min="13" max="17" width="12.33203125" style="19" customWidth="1"/>
    <col min="18" max="18" width="11.6640625" style="19" customWidth="1"/>
    <col min="19" max="16384" width="9.33203125" style="19"/>
  </cols>
  <sheetData>
    <row r="2" spans="2:18" x14ac:dyDescent="0.25">
      <c r="C2" s="144"/>
      <c r="D2" s="144"/>
      <c r="E2" s="144"/>
      <c r="F2" s="144"/>
      <c r="G2" s="25"/>
      <c r="H2" s="25"/>
      <c r="I2" s="25"/>
      <c r="J2" s="299" t="str">
        <f>Index!B2</f>
        <v>JAIGAD POWER TRANSCO LIMITED (JPTL)</v>
      </c>
    </row>
    <row r="3" spans="2:18" s="21" customFormat="1" x14ac:dyDescent="0.25">
      <c r="B3" s="102"/>
      <c r="C3" s="145"/>
      <c r="D3" s="145"/>
      <c r="E3" s="145"/>
      <c r="F3" s="145"/>
      <c r="G3" s="127"/>
      <c r="H3" s="127"/>
      <c r="I3" s="127"/>
      <c r="J3" s="142" t="s">
        <v>0</v>
      </c>
      <c r="K3" s="72"/>
      <c r="L3" s="72"/>
      <c r="M3" s="72"/>
    </row>
    <row r="4" spans="2:18" s="21" customFormat="1" x14ac:dyDescent="0.25">
      <c r="B4" s="102"/>
      <c r="C4" s="146"/>
      <c r="D4" s="146"/>
      <c r="E4" s="146"/>
      <c r="F4" s="146"/>
      <c r="G4" s="57"/>
      <c r="H4" s="57"/>
      <c r="I4" s="57"/>
      <c r="J4" s="52" t="s">
        <v>543</v>
      </c>
      <c r="K4" s="57"/>
      <c r="L4" s="57"/>
      <c r="M4" s="57"/>
      <c r="N4" s="57"/>
      <c r="O4" s="57"/>
    </row>
    <row r="5" spans="2:18" s="21" customFormat="1" x14ac:dyDescent="0.25">
      <c r="B5" s="300"/>
      <c r="C5" s="147"/>
      <c r="D5" s="147"/>
      <c r="E5" s="147"/>
      <c r="F5" s="147"/>
      <c r="G5" s="52"/>
      <c r="H5" s="52"/>
      <c r="I5" s="52"/>
      <c r="J5" s="52"/>
      <c r="K5" s="57"/>
      <c r="L5" s="57"/>
      <c r="M5" s="57"/>
      <c r="N5" s="57"/>
      <c r="O5" s="57"/>
    </row>
    <row r="6" spans="2:18" s="21" customFormat="1" ht="15" customHeight="1" x14ac:dyDescent="0.25">
      <c r="B6" s="938" t="s">
        <v>1</v>
      </c>
      <c r="C6" s="941" t="s">
        <v>74</v>
      </c>
      <c r="D6" s="945" t="s">
        <v>75</v>
      </c>
      <c r="E6" s="946"/>
      <c r="F6" s="947"/>
      <c r="G6" s="945" t="s">
        <v>76</v>
      </c>
      <c r="H6" s="946"/>
      <c r="I6" s="947"/>
      <c r="J6" s="945" t="s">
        <v>77</v>
      </c>
      <c r="K6" s="946"/>
      <c r="L6" s="947"/>
      <c r="M6" s="941" t="s">
        <v>78</v>
      </c>
      <c r="N6" s="941"/>
      <c r="O6" s="941"/>
      <c r="P6" s="941"/>
      <c r="Q6" s="941"/>
      <c r="R6" s="941" t="s">
        <v>79</v>
      </c>
    </row>
    <row r="7" spans="2:18" ht="27.6" x14ac:dyDescent="0.25">
      <c r="B7" s="939"/>
      <c r="C7" s="941"/>
      <c r="D7" s="418" t="s">
        <v>80</v>
      </c>
      <c r="E7" s="418" t="s">
        <v>81</v>
      </c>
      <c r="F7" s="418" t="s">
        <v>82</v>
      </c>
      <c r="G7" s="418" t="s">
        <v>80</v>
      </c>
      <c r="H7" s="418" t="s">
        <v>81</v>
      </c>
      <c r="I7" s="418" t="s">
        <v>82</v>
      </c>
      <c r="J7" s="418" t="s">
        <v>80</v>
      </c>
      <c r="K7" s="418" t="s">
        <v>85</v>
      </c>
      <c r="L7" s="418" t="s">
        <v>86</v>
      </c>
      <c r="M7" s="418" t="s">
        <v>87</v>
      </c>
      <c r="N7" s="418" t="s">
        <v>88</v>
      </c>
      <c r="O7" s="418" t="s">
        <v>89</v>
      </c>
      <c r="P7" s="418" t="s">
        <v>90</v>
      </c>
      <c r="Q7" s="418" t="s">
        <v>91</v>
      </c>
      <c r="R7" s="941"/>
    </row>
    <row r="8" spans="2:18" ht="27.6" x14ac:dyDescent="0.25">
      <c r="B8" s="956"/>
      <c r="C8" s="1053"/>
      <c r="D8" s="418" t="s">
        <v>92</v>
      </c>
      <c r="E8" s="418" t="s">
        <v>93</v>
      </c>
      <c r="F8" s="418" t="s">
        <v>94</v>
      </c>
      <c r="G8" s="418" t="s">
        <v>95</v>
      </c>
      <c r="H8" s="418" t="s">
        <v>96</v>
      </c>
      <c r="I8" s="418" t="s">
        <v>97</v>
      </c>
      <c r="J8" s="418" t="s">
        <v>98</v>
      </c>
      <c r="K8" s="418" t="s">
        <v>99</v>
      </c>
      <c r="L8" s="418" t="s">
        <v>427</v>
      </c>
      <c r="M8" s="418" t="s">
        <v>103</v>
      </c>
      <c r="N8" s="418" t="s">
        <v>103</v>
      </c>
      <c r="O8" s="418" t="s">
        <v>103</v>
      </c>
      <c r="P8" s="418" t="s">
        <v>103</v>
      </c>
      <c r="Q8" s="418" t="s">
        <v>103</v>
      </c>
      <c r="R8" s="1053"/>
    </row>
    <row r="9" spans="2:18" x14ac:dyDescent="0.25">
      <c r="B9" s="149">
        <v>1</v>
      </c>
      <c r="C9" s="143" t="s">
        <v>544</v>
      </c>
      <c r="D9" s="143"/>
      <c r="E9" s="571">
        <f>SUM('G Sec Investment'!G4:G13)</f>
        <v>15.669999999999995</v>
      </c>
      <c r="F9" s="143"/>
      <c r="G9" s="129"/>
      <c r="H9" s="521">
        <f>+E14</f>
        <v>17.049319147749994</v>
      </c>
      <c r="I9" s="17"/>
      <c r="J9" s="129"/>
      <c r="K9" s="521">
        <f>+H14</f>
        <v>18.441088156757495</v>
      </c>
      <c r="L9" s="17"/>
      <c r="M9" s="574">
        <f>+K14</f>
        <v>19.834064933234995</v>
      </c>
      <c r="N9" s="574">
        <f>+M14</f>
        <v>21.228541709712495</v>
      </c>
      <c r="O9" s="574">
        <f t="shared" ref="O9:Q9" si="0">+N14</f>
        <v>22.648487236189997</v>
      </c>
      <c r="P9" s="574">
        <f t="shared" si="0"/>
        <v>24.069432762667496</v>
      </c>
      <c r="Q9" s="574">
        <f t="shared" si="0"/>
        <v>25.498328289144997</v>
      </c>
      <c r="R9" s="10"/>
    </row>
    <row r="10" spans="2:18" ht="15" customHeight="1" x14ac:dyDescent="0.25">
      <c r="B10" s="149">
        <f t="shared" ref="B10:B12" si="1">B9+1</f>
        <v>2</v>
      </c>
      <c r="C10" s="143" t="s">
        <v>545</v>
      </c>
      <c r="D10" s="143">
        <v>551.73</v>
      </c>
      <c r="E10" s="571">
        <f>+'F4 '!D23</f>
        <v>551.7276591000001</v>
      </c>
      <c r="F10" s="143"/>
      <c r="G10" s="143">
        <v>554.74</v>
      </c>
      <c r="H10" s="521">
        <f>+'F4 '!H23</f>
        <v>556.70760360300005</v>
      </c>
      <c r="I10" s="17"/>
      <c r="J10" s="143">
        <v>554.07000000000005</v>
      </c>
      <c r="K10" s="521">
        <f>+'F4 '!L23</f>
        <v>557.19071059099997</v>
      </c>
      <c r="L10" s="17"/>
      <c r="M10" s="574">
        <f>+'F4 '!P23</f>
        <v>557.79071059099999</v>
      </c>
      <c r="N10" s="574">
        <f>+'F4 '!D39</f>
        <v>567.97821059100011</v>
      </c>
      <c r="O10" s="574">
        <f>+'F4 '!H39</f>
        <v>568.37821059100008</v>
      </c>
      <c r="P10" s="574">
        <f>+'F4 '!L39</f>
        <v>571.55821059100003</v>
      </c>
      <c r="Q10" s="574">
        <f>+'F4 '!P39</f>
        <v>572.69197059100009</v>
      </c>
      <c r="R10" s="10"/>
    </row>
    <row r="11" spans="2:18" ht="27.6" x14ac:dyDescent="0.25">
      <c r="B11" s="149">
        <f t="shared" si="1"/>
        <v>3</v>
      </c>
      <c r="C11" s="143" t="s">
        <v>546</v>
      </c>
      <c r="D11" s="143"/>
      <c r="E11" s="572">
        <f>+E9/E10</f>
        <v>2.8401693737017855E-2</v>
      </c>
      <c r="F11" s="143"/>
      <c r="G11" s="143"/>
      <c r="H11" s="17"/>
      <c r="I11" s="17"/>
      <c r="J11" s="143"/>
      <c r="K11" s="17"/>
      <c r="L11" s="17"/>
      <c r="M11" s="573"/>
      <c r="N11" s="573"/>
      <c r="O11" s="573"/>
      <c r="P11" s="573"/>
      <c r="Q11" s="10"/>
      <c r="R11" s="10"/>
    </row>
    <row r="12" spans="2:18" ht="27.6" x14ac:dyDescent="0.25">
      <c r="B12" s="149">
        <f t="shared" si="1"/>
        <v>4</v>
      </c>
      <c r="C12" s="143" t="s">
        <v>547</v>
      </c>
      <c r="D12" s="143">
        <v>1.38</v>
      </c>
      <c r="E12" s="551">
        <f>+E10*0.25%</f>
        <v>1.3793191477500002</v>
      </c>
      <c r="F12" s="143"/>
      <c r="G12" s="143">
        <v>1.39</v>
      </c>
      <c r="H12" s="551">
        <f>+H10*0.25%</f>
        <v>1.3917690090075001</v>
      </c>
      <c r="I12" s="17"/>
      <c r="J12" s="143">
        <v>1.39</v>
      </c>
      <c r="K12" s="551">
        <f>+K10*0.25%</f>
        <v>1.3929767764774998</v>
      </c>
      <c r="L12" s="17"/>
      <c r="M12" s="551">
        <f t="shared" ref="M12:Q12" si="2">+M10*0.25%</f>
        <v>1.3944767764774999</v>
      </c>
      <c r="N12" s="551">
        <f t="shared" si="2"/>
        <v>1.4199455264775003</v>
      </c>
      <c r="O12" s="551">
        <f t="shared" si="2"/>
        <v>1.4209455264775002</v>
      </c>
      <c r="P12" s="551">
        <f t="shared" si="2"/>
        <v>1.4288955264775001</v>
      </c>
      <c r="Q12" s="551">
        <f t="shared" si="2"/>
        <v>1.4317299264775003</v>
      </c>
      <c r="R12" s="10"/>
    </row>
    <row r="13" spans="2:18" ht="27.6" x14ac:dyDescent="0.25">
      <c r="B13" s="149">
        <f t="shared" ref="B13:B15" si="3">B12+1</f>
        <v>5</v>
      </c>
      <c r="C13" s="143" t="s">
        <v>548</v>
      </c>
      <c r="D13" s="143"/>
      <c r="E13" s="143"/>
      <c r="F13" s="143"/>
      <c r="G13" s="129"/>
      <c r="H13" s="17"/>
      <c r="I13" s="17"/>
      <c r="J13" s="129"/>
      <c r="K13" s="17"/>
      <c r="L13" s="17"/>
      <c r="M13" s="573"/>
      <c r="N13" s="573"/>
      <c r="O13" s="573"/>
      <c r="P13" s="573"/>
      <c r="Q13" s="10"/>
      <c r="R13" s="10"/>
    </row>
    <row r="14" spans="2:18" x14ac:dyDescent="0.25">
      <c r="B14" s="149">
        <f t="shared" si="3"/>
        <v>6</v>
      </c>
      <c r="C14" s="143" t="s">
        <v>549</v>
      </c>
      <c r="D14" s="143"/>
      <c r="E14" s="571">
        <f>+E9+E12</f>
        <v>17.049319147749994</v>
      </c>
      <c r="F14" s="143"/>
      <c r="G14" s="129"/>
      <c r="H14" s="571">
        <f>+H9+H12</f>
        <v>18.441088156757495</v>
      </c>
      <c r="I14" s="17"/>
      <c r="J14" s="129"/>
      <c r="K14" s="571">
        <f>+K9+K12</f>
        <v>19.834064933234995</v>
      </c>
      <c r="L14" s="17"/>
      <c r="M14" s="571">
        <f>+M9+M12</f>
        <v>21.228541709712495</v>
      </c>
      <c r="N14" s="571">
        <f>+N9+N12</f>
        <v>22.648487236189997</v>
      </c>
      <c r="O14" s="571">
        <f>+O9+O12</f>
        <v>24.069432762667496</v>
      </c>
      <c r="P14" s="571">
        <f>+P9+P12</f>
        <v>25.498328289144997</v>
      </c>
      <c r="Q14" s="571">
        <f>+Q9+Q12</f>
        <v>26.930058215622498</v>
      </c>
      <c r="R14" s="10"/>
    </row>
    <row r="15" spans="2:18" ht="27.6" x14ac:dyDescent="0.25">
      <c r="B15" s="149">
        <f t="shared" si="3"/>
        <v>7</v>
      </c>
      <c r="C15" s="143" t="s">
        <v>550</v>
      </c>
      <c r="D15" s="143"/>
      <c r="E15" s="572">
        <f>+E14/E10</f>
        <v>3.0901693737017854E-2</v>
      </c>
      <c r="F15" s="143"/>
      <c r="G15" s="129"/>
      <c r="H15" s="572">
        <f>+H14/H10</f>
        <v>3.3125267263114704E-2</v>
      </c>
      <c r="I15" s="17"/>
      <c r="J15" s="129"/>
      <c r="K15" s="572">
        <f>+K14/K10</f>
        <v>3.5596546310324231E-2</v>
      </c>
      <c r="L15" s="17"/>
      <c r="M15" s="572">
        <f>+M14/M10</f>
        <v>3.8058256092540634E-2</v>
      </c>
      <c r="N15" s="572">
        <f>+N14/N10</f>
        <v>3.9875626941081939E-2</v>
      </c>
      <c r="O15" s="572">
        <f>+O14/O10</f>
        <v>4.2347564199619971E-2</v>
      </c>
      <c r="P15" s="572">
        <f>+P14/P10</f>
        <v>4.4611953457512808E-2</v>
      </c>
      <c r="Q15" s="572">
        <f>+Q14/Q10</f>
        <v>4.7023635040371749E-2</v>
      </c>
      <c r="R15" s="10"/>
    </row>
    <row r="16" spans="2:18" x14ac:dyDescent="0.25">
      <c r="B16" s="73"/>
      <c r="C16" s="403"/>
      <c r="D16" s="403"/>
      <c r="E16" s="403"/>
      <c r="F16" s="403"/>
      <c r="G16" s="1"/>
      <c r="H16" s="1"/>
      <c r="I16" s="1"/>
      <c r="J16" s="1"/>
      <c r="K16" s="1"/>
      <c r="L16" s="1"/>
      <c r="M16" s="1"/>
      <c r="N16" s="1"/>
      <c r="O16" s="1"/>
      <c r="P16" s="1"/>
      <c r="Q16" s="1"/>
      <c r="R16" s="1"/>
    </row>
    <row r="17" spans="2:18" x14ac:dyDescent="0.25">
      <c r="B17" s="19" t="s">
        <v>124</v>
      </c>
      <c r="C17" s="403"/>
      <c r="D17" s="403"/>
      <c r="E17" s="403"/>
      <c r="F17" s="403"/>
      <c r="G17" s="1"/>
      <c r="H17" s="1"/>
      <c r="I17" s="1"/>
      <c r="J17" s="1"/>
      <c r="K17" s="1"/>
      <c r="L17" s="1"/>
      <c r="M17" s="1"/>
      <c r="N17" s="1"/>
      <c r="O17" s="1"/>
      <c r="P17" s="1"/>
      <c r="Q17" s="1"/>
      <c r="R17" s="1"/>
    </row>
    <row r="18" spans="2:18" x14ac:dyDescent="0.25">
      <c r="C18" s="1123" t="s">
        <v>551</v>
      </c>
      <c r="D18" s="1123"/>
      <c r="E18" s="1123"/>
      <c r="F18" s="1123"/>
      <c r="G18" s="1123"/>
      <c r="H18" s="1123"/>
      <c r="I18" s="1123"/>
      <c r="J18" s="1123"/>
    </row>
    <row r="19" spans="2:18" x14ac:dyDescent="0.25">
      <c r="C19" s="1123"/>
      <c r="D19" s="1123"/>
      <c r="E19" s="1123"/>
      <c r="F19" s="1123"/>
      <c r="G19" s="1123"/>
      <c r="H19" s="1123"/>
      <c r="I19" s="1123"/>
      <c r="J19" s="1123"/>
      <c r="K19" s="1123"/>
      <c r="L19" s="1123"/>
    </row>
    <row r="20" spans="2:18" x14ac:dyDescent="0.25">
      <c r="C20" s="1123"/>
      <c r="D20" s="1123"/>
      <c r="E20" s="1123"/>
      <c r="F20" s="1123"/>
      <c r="G20" s="1123"/>
      <c r="H20" s="1123"/>
      <c r="I20" s="1123"/>
      <c r="J20" s="1123"/>
      <c r="K20" s="1123"/>
    </row>
  </sheetData>
  <mergeCells count="10">
    <mergeCell ref="B6:B8"/>
    <mergeCell ref="C6:C8"/>
    <mergeCell ref="G6:I6"/>
    <mergeCell ref="J6:L6"/>
    <mergeCell ref="D6:F6"/>
    <mergeCell ref="C19:L19"/>
    <mergeCell ref="C20:K20"/>
    <mergeCell ref="C18:J18"/>
    <mergeCell ref="M6:Q6"/>
    <mergeCell ref="R6:R8"/>
  </mergeCells>
  <printOptions horizontalCentered="1" verticalCentered="1"/>
  <pageMargins left="0.31496062992125984" right="0.23622047244094491" top="0.35433070866141736" bottom="0.98425196850393704" header="0.23622047244094491" footer="0.23622047244094491"/>
  <pageSetup paperSize="9" scale="64"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B1:T17"/>
  <sheetViews>
    <sheetView showGridLines="0" view="pageBreakPreview" zoomScale="60" zoomScaleNormal="75" workbookViewId="0">
      <selection activeCell="J9" sqref="J9"/>
    </sheetView>
  </sheetViews>
  <sheetFormatPr defaultColWidth="9.33203125" defaultRowHeight="13.8" x14ac:dyDescent="0.25"/>
  <cols>
    <col min="1" max="1" width="4.33203125" style="1" customWidth="1"/>
    <col min="2" max="2" width="6.33203125" style="1" customWidth="1"/>
    <col min="3" max="3" width="46.6640625" style="1" customWidth="1"/>
    <col min="4" max="4" width="10.33203125" style="1" customWidth="1"/>
    <col min="5" max="5" width="13.6640625" style="1" customWidth="1"/>
    <col min="6" max="6" width="15.6640625" style="1" customWidth="1"/>
    <col min="7" max="7" width="11.109375" style="1" customWidth="1"/>
    <col min="8" max="8" width="15" style="1" customWidth="1"/>
    <col min="9" max="9" width="16.109375" style="1" customWidth="1"/>
    <col min="10" max="10" width="11" style="1" customWidth="1"/>
    <col min="11" max="11" width="11" style="1" bestFit="1" customWidth="1"/>
    <col min="12" max="12" width="14.88671875" style="1" bestFit="1" customWidth="1"/>
    <col min="13" max="13" width="17" style="1" bestFit="1" customWidth="1"/>
    <col min="14" max="14" width="17.6640625" style="1" customWidth="1"/>
    <col min="15" max="19" width="12" style="1" customWidth="1"/>
    <col min="20" max="20" width="15.6640625" style="1" customWidth="1"/>
    <col min="21" max="16384" width="9.33203125" style="1"/>
  </cols>
  <sheetData>
    <row r="1" spans="2:20" x14ac:dyDescent="0.25">
      <c r="B1" s="6"/>
    </row>
    <row r="2" spans="2:20" x14ac:dyDescent="0.25">
      <c r="C2" s="157"/>
      <c r="D2" s="157"/>
      <c r="E2" s="157"/>
      <c r="F2" s="157"/>
      <c r="G2" s="157"/>
      <c r="H2" s="157"/>
      <c r="I2" s="157"/>
      <c r="J2" s="70" t="str">
        <f>Index!B2</f>
        <v>JAIGAD POWER TRANSCO LIMITED (JPTL)</v>
      </c>
      <c r="K2" s="157"/>
      <c r="L2" s="157"/>
      <c r="M2" s="157"/>
      <c r="N2" s="157"/>
      <c r="O2" s="157"/>
      <c r="P2" s="157"/>
      <c r="Q2" s="157"/>
      <c r="R2" s="157"/>
      <c r="S2" s="157"/>
      <c r="T2" s="157"/>
    </row>
    <row r="3" spans="2:20" x14ac:dyDescent="0.25">
      <c r="C3" s="157"/>
      <c r="D3" s="157"/>
      <c r="E3" s="157"/>
      <c r="F3" s="157"/>
      <c r="G3" s="157"/>
      <c r="H3" s="157"/>
      <c r="I3" s="157"/>
      <c r="J3" s="70" t="s">
        <v>0</v>
      </c>
      <c r="K3" s="157"/>
      <c r="L3" s="157"/>
      <c r="M3" s="157"/>
      <c r="N3" s="157"/>
      <c r="O3" s="157"/>
      <c r="P3" s="157"/>
      <c r="Q3" s="157"/>
      <c r="R3" s="157"/>
      <c r="S3" s="157"/>
      <c r="T3" s="157"/>
    </row>
    <row r="4" spans="2:20" x14ac:dyDescent="0.25">
      <c r="C4" s="157"/>
      <c r="D4" s="157"/>
      <c r="E4" s="157"/>
      <c r="F4" s="157"/>
      <c r="G4" s="157"/>
      <c r="H4" s="157"/>
      <c r="I4" s="157"/>
      <c r="J4" s="70" t="s">
        <v>552</v>
      </c>
      <c r="K4" s="157"/>
      <c r="L4" s="157"/>
      <c r="M4" s="157"/>
      <c r="N4" s="157"/>
      <c r="O4" s="157"/>
      <c r="P4" s="157"/>
      <c r="Q4" s="157"/>
      <c r="R4" s="157"/>
      <c r="S4" s="157"/>
      <c r="T4" s="157"/>
    </row>
    <row r="5" spans="2:20" x14ac:dyDescent="0.25">
      <c r="B5" s="2"/>
      <c r="C5" s="2"/>
    </row>
    <row r="6" spans="2:20" x14ac:dyDescent="0.25">
      <c r="C6" s="7"/>
      <c r="J6" s="7"/>
      <c r="L6" s="8"/>
      <c r="T6" s="8" t="s">
        <v>73</v>
      </c>
    </row>
    <row r="7" spans="2:20" s="19" customFormat="1" x14ac:dyDescent="0.25">
      <c r="B7" s="938" t="s">
        <v>1</v>
      </c>
      <c r="C7" s="943" t="s">
        <v>74</v>
      </c>
      <c r="D7" s="945" t="s">
        <v>75</v>
      </c>
      <c r="E7" s="946"/>
      <c r="F7" s="947"/>
      <c r="G7" s="945" t="s">
        <v>76</v>
      </c>
      <c r="H7" s="946"/>
      <c r="I7" s="947"/>
      <c r="J7" s="945" t="s">
        <v>77</v>
      </c>
      <c r="K7" s="946"/>
      <c r="L7" s="946"/>
      <c r="M7" s="946"/>
      <c r="N7" s="947"/>
      <c r="O7" s="941" t="s">
        <v>78</v>
      </c>
      <c r="P7" s="941"/>
      <c r="Q7" s="941"/>
      <c r="R7" s="941"/>
      <c r="S7" s="941"/>
      <c r="T7" s="941" t="s">
        <v>79</v>
      </c>
    </row>
    <row r="8" spans="2:20" s="19" customFormat="1" ht="42.6" customHeight="1" x14ac:dyDescent="0.25">
      <c r="B8" s="939"/>
      <c r="C8" s="943"/>
      <c r="D8" s="418" t="s">
        <v>80</v>
      </c>
      <c r="E8" s="418" t="s">
        <v>81</v>
      </c>
      <c r="F8" s="418" t="s">
        <v>82</v>
      </c>
      <c r="G8" s="418" t="s">
        <v>80</v>
      </c>
      <c r="H8" s="418" t="s">
        <v>81</v>
      </c>
      <c r="I8" s="418" t="s">
        <v>82</v>
      </c>
      <c r="J8" s="418" t="s">
        <v>80</v>
      </c>
      <c r="K8" s="418" t="s">
        <v>83</v>
      </c>
      <c r="L8" s="418" t="s">
        <v>84</v>
      </c>
      <c r="M8" s="418" t="s">
        <v>85</v>
      </c>
      <c r="N8" s="418" t="s">
        <v>86</v>
      </c>
      <c r="O8" s="418" t="s">
        <v>87</v>
      </c>
      <c r="P8" s="418" t="s">
        <v>88</v>
      </c>
      <c r="Q8" s="418" t="s">
        <v>89</v>
      </c>
      <c r="R8" s="418" t="s">
        <v>90</v>
      </c>
      <c r="S8" s="418" t="s">
        <v>91</v>
      </c>
      <c r="T8" s="941"/>
    </row>
    <row r="9" spans="2:20" s="19" customFormat="1" ht="27.75" customHeight="1" x14ac:dyDescent="0.25">
      <c r="B9" s="956"/>
      <c r="C9" s="957"/>
      <c r="D9" s="418" t="s">
        <v>92</v>
      </c>
      <c r="E9" s="418" t="s">
        <v>93</v>
      </c>
      <c r="F9" s="418" t="s">
        <v>94</v>
      </c>
      <c r="G9" s="418" t="s">
        <v>95</v>
      </c>
      <c r="H9" s="418" t="s">
        <v>96</v>
      </c>
      <c r="I9" s="418" t="s">
        <v>97</v>
      </c>
      <c r="J9" s="418" t="s">
        <v>98</v>
      </c>
      <c r="K9" s="418" t="s">
        <v>99</v>
      </c>
      <c r="L9" s="418" t="s">
        <v>100</v>
      </c>
      <c r="M9" s="418" t="s">
        <v>101</v>
      </c>
      <c r="N9" s="418" t="s">
        <v>102</v>
      </c>
      <c r="O9" s="418" t="s">
        <v>103</v>
      </c>
      <c r="P9" s="418" t="s">
        <v>103</v>
      </c>
      <c r="Q9" s="418" t="s">
        <v>103</v>
      </c>
      <c r="R9" s="418" t="s">
        <v>103</v>
      </c>
      <c r="S9" s="418" t="s">
        <v>103</v>
      </c>
      <c r="T9" s="1053"/>
    </row>
    <row r="10" spans="2:20" s="8" customFormat="1" x14ac:dyDescent="0.25">
      <c r="B10" s="124">
        <v>1</v>
      </c>
      <c r="C10" s="13" t="s">
        <v>553</v>
      </c>
      <c r="D10" s="4">
        <v>68.12</v>
      </c>
      <c r="E10" s="535">
        <f>+Revenue!D8-E12</f>
        <v>68.052301200000002</v>
      </c>
      <c r="F10" s="4"/>
      <c r="G10" s="535">
        <f ca="1">+'F1 '!H31</f>
        <v>66.53631190943014</v>
      </c>
      <c r="H10" s="535">
        <f>+Revenue!E8-H12</f>
        <v>66.481861500000008</v>
      </c>
      <c r="I10" s="4"/>
      <c r="J10" s="535">
        <f ca="1">+'F1 '!K31</f>
        <v>64.281692011890442</v>
      </c>
      <c r="K10" s="537">
        <f ca="1">+M10/2</f>
        <v>32.140846005945221</v>
      </c>
      <c r="L10" s="537">
        <f ca="1">+M10/2</f>
        <v>32.140846005945221</v>
      </c>
      <c r="M10" s="535">
        <f ca="1">+J10</f>
        <v>64.281692011890442</v>
      </c>
      <c r="N10" s="4"/>
      <c r="O10" s="535">
        <f ca="1">+'F1 '!P31</f>
        <v>47.884345913779519</v>
      </c>
      <c r="P10" s="535">
        <f ca="1">+'F1 '!Q31</f>
        <v>43.634543374351701</v>
      </c>
      <c r="Q10" s="535">
        <f ca="1">+'F1 '!R31</f>
        <v>43.423257037455613</v>
      </c>
      <c r="R10" s="535">
        <f ca="1">+'F1 '!S31</f>
        <v>43.53698195057693</v>
      </c>
      <c r="S10" s="535">
        <f ca="1">+'F1 '!T31</f>
        <v>43.749937664992466</v>
      </c>
      <c r="T10" s="125"/>
    </row>
    <row r="11" spans="2:20" s="8" customFormat="1" x14ac:dyDescent="0.25">
      <c r="B11" s="124">
        <v>2</v>
      </c>
      <c r="C11" s="13" t="s">
        <v>554</v>
      </c>
      <c r="D11" s="4"/>
      <c r="E11" s="4"/>
      <c r="F11" s="4"/>
      <c r="G11" s="535"/>
      <c r="H11" s="4"/>
      <c r="I11" s="4"/>
      <c r="J11" s="535"/>
      <c r="K11" s="4"/>
      <c r="L11" s="4"/>
      <c r="M11" s="4"/>
      <c r="N11" s="4"/>
      <c r="O11" s="4"/>
      <c r="P11" s="125"/>
      <c r="Q11" s="125"/>
      <c r="R11" s="125"/>
      <c r="S11" s="125"/>
      <c r="T11" s="125"/>
    </row>
    <row r="12" spans="2:20" x14ac:dyDescent="0.25">
      <c r="B12" s="124">
        <v>3</v>
      </c>
      <c r="C12" s="10" t="s">
        <v>1013</v>
      </c>
      <c r="D12" s="4"/>
      <c r="E12" s="535">
        <f>+Revenue!D6</f>
        <v>0.03</v>
      </c>
      <c r="F12" s="4"/>
      <c r="G12" s="4"/>
      <c r="H12" s="535">
        <f>+Revenue!E6</f>
        <v>1.19</v>
      </c>
      <c r="I12" s="4"/>
      <c r="J12" s="4"/>
      <c r="K12" s="4"/>
      <c r="L12" s="4"/>
      <c r="M12" s="4"/>
      <c r="N12" s="4"/>
      <c r="O12" s="4"/>
      <c r="P12" s="11"/>
      <c r="Q12" s="11"/>
      <c r="R12" s="125"/>
      <c r="S12" s="125"/>
      <c r="T12" s="125"/>
    </row>
    <row r="13" spans="2:20" x14ac:dyDescent="0.25">
      <c r="B13" s="124">
        <v>4</v>
      </c>
      <c r="C13" s="10" t="s">
        <v>304</v>
      </c>
      <c r="D13" s="4"/>
      <c r="E13" s="4"/>
      <c r="F13" s="4"/>
      <c r="G13" s="4"/>
      <c r="H13" s="4"/>
      <c r="I13" s="4"/>
      <c r="J13" s="4"/>
      <c r="K13" s="4"/>
      <c r="L13" s="4"/>
      <c r="M13" s="4"/>
      <c r="N13" s="4"/>
      <c r="O13" s="4"/>
      <c r="P13" s="11"/>
      <c r="Q13" s="11"/>
      <c r="R13" s="125"/>
      <c r="S13" s="125"/>
      <c r="T13" s="125"/>
    </row>
    <row r="14" spans="2:20" x14ac:dyDescent="0.25">
      <c r="B14" s="124"/>
      <c r="C14" s="12" t="s">
        <v>180</v>
      </c>
      <c r="D14" s="542">
        <f>SUM(D10:D13)</f>
        <v>68.12</v>
      </c>
      <c r="E14" s="542">
        <f t="shared" ref="E14:S14" si="0">SUM(E10:E13)</f>
        <v>68.082301200000003</v>
      </c>
      <c r="F14" s="542">
        <f t="shared" si="0"/>
        <v>0</v>
      </c>
      <c r="G14" s="542">
        <f t="shared" ca="1" si="0"/>
        <v>66.53631190943014</v>
      </c>
      <c r="H14" s="542">
        <f t="shared" si="0"/>
        <v>67.671861500000006</v>
      </c>
      <c r="I14" s="542">
        <f t="shared" si="0"/>
        <v>0</v>
      </c>
      <c r="J14" s="542">
        <f t="shared" ca="1" si="0"/>
        <v>64.281692011890442</v>
      </c>
      <c r="K14" s="542">
        <f t="shared" ca="1" si="0"/>
        <v>32.140846005945221</v>
      </c>
      <c r="L14" s="542">
        <f t="shared" ca="1" si="0"/>
        <v>32.140846005945221</v>
      </c>
      <c r="M14" s="542">
        <f t="shared" ca="1" si="0"/>
        <v>64.281692011890442</v>
      </c>
      <c r="N14" s="542">
        <f t="shared" si="0"/>
        <v>0</v>
      </c>
      <c r="O14" s="542">
        <f t="shared" ca="1" si="0"/>
        <v>47.884345913779519</v>
      </c>
      <c r="P14" s="542">
        <f t="shared" ca="1" si="0"/>
        <v>43.634543374351701</v>
      </c>
      <c r="Q14" s="542">
        <f t="shared" ca="1" si="0"/>
        <v>43.423257037455613</v>
      </c>
      <c r="R14" s="542">
        <f t="shared" ca="1" si="0"/>
        <v>43.53698195057693</v>
      </c>
      <c r="S14" s="542">
        <f t="shared" ca="1" si="0"/>
        <v>43.749937664992466</v>
      </c>
      <c r="T14" s="125"/>
    </row>
    <row r="15" spans="2:20" x14ac:dyDescent="0.25">
      <c r="C15" s="9"/>
    </row>
    <row r="16" spans="2:20" x14ac:dyDescent="0.25">
      <c r="B16" s="19" t="s">
        <v>124</v>
      </c>
    </row>
    <row r="17" spans="2:2" x14ac:dyDescent="0.25">
      <c r="B17" s="1" t="s">
        <v>555</v>
      </c>
    </row>
  </sheetData>
  <mergeCells count="7">
    <mergeCell ref="O7:S7"/>
    <mergeCell ref="T7:T9"/>
    <mergeCell ref="B7:B9"/>
    <mergeCell ref="C7:C9"/>
    <mergeCell ref="G7:I7"/>
    <mergeCell ref="J7:N7"/>
    <mergeCell ref="D7:F7"/>
  </mergeCells>
  <printOptions horizontalCentered="1" verticalCentered="1"/>
  <pageMargins left="0.27559055118110237" right="0.23622047244094491" top="0.43307086614173229" bottom="0.98425196850393704" header="0.23622047244094491" footer="0.23622047244094491"/>
  <pageSetup paperSize="9" scale="51"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5DCA4-3674-4FFF-A415-879ADF2144C1}">
  <dimension ref="C3:F13"/>
  <sheetViews>
    <sheetView showGridLines="0" workbookViewId="0">
      <selection activeCell="C13" sqref="C13:F13"/>
    </sheetView>
  </sheetViews>
  <sheetFormatPr defaultColWidth="9.109375" defaultRowHeight="13.8" x14ac:dyDescent="0.25"/>
  <cols>
    <col min="1" max="2" width="9.109375" style="664"/>
    <col min="3" max="3" width="38.109375" style="664" bestFit="1" customWidth="1"/>
    <col min="4" max="6" width="11.6640625" style="664" bestFit="1" customWidth="1"/>
    <col min="7" max="7" width="9.109375" style="664"/>
    <col min="8" max="8" width="8.6640625" style="664" customWidth="1"/>
    <col min="9" max="9" width="9" style="664" bestFit="1" customWidth="1"/>
    <col min="10" max="16384" width="9.109375" style="664"/>
  </cols>
  <sheetData>
    <row r="3" spans="3:6" x14ac:dyDescent="0.25">
      <c r="C3" s="663" t="s">
        <v>827</v>
      </c>
      <c r="D3" s="663" t="s">
        <v>75</v>
      </c>
      <c r="E3" s="663" t="s">
        <v>76</v>
      </c>
      <c r="F3" s="663" t="s">
        <v>77</v>
      </c>
    </row>
    <row r="4" spans="3:6" ht="27.6" x14ac:dyDescent="0.25">
      <c r="C4" s="665" t="s">
        <v>901</v>
      </c>
      <c r="D4" s="666">
        <v>68.12</v>
      </c>
      <c r="E4" s="666"/>
      <c r="F4" s="666"/>
    </row>
    <row r="5" spans="3:6" ht="27.6" x14ac:dyDescent="0.25">
      <c r="C5" s="665" t="s">
        <v>902</v>
      </c>
      <c r="D5" s="666"/>
      <c r="E5" s="666">
        <v>66.540000000000006</v>
      </c>
      <c r="F5" s="666">
        <v>64.28</v>
      </c>
    </row>
    <row r="6" spans="3:6" x14ac:dyDescent="0.25">
      <c r="C6" s="665" t="s">
        <v>1011</v>
      </c>
      <c r="D6" s="666">
        <v>0.03</v>
      </c>
      <c r="E6" s="666">
        <v>1.19</v>
      </c>
      <c r="F6" s="666"/>
    </row>
    <row r="7" spans="3:6" x14ac:dyDescent="0.25">
      <c r="C7" s="790" t="s">
        <v>903</v>
      </c>
      <c r="D7" s="791">
        <v>-6.7698800000000003E-2</v>
      </c>
      <c r="E7" s="791">
        <v>-5.8138500000000003E-2</v>
      </c>
      <c r="F7" s="667"/>
    </row>
    <row r="8" spans="3:6" x14ac:dyDescent="0.25">
      <c r="C8" s="668" t="s">
        <v>828</v>
      </c>
      <c r="D8" s="666">
        <f>+D4+D7+D5+D6</f>
        <v>68.082301200000003</v>
      </c>
      <c r="E8" s="666">
        <f>+E4+E7+E5+E6</f>
        <v>67.671861500000006</v>
      </c>
      <c r="F8" s="666">
        <f>+F4+F7+F5+F6</f>
        <v>64.28</v>
      </c>
    </row>
    <row r="10" spans="3:6" x14ac:dyDescent="0.25">
      <c r="C10" s="664" t="s">
        <v>829</v>
      </c>
      <c r="D10" s="669">
        <f>Recon!C5</f>
        <v>68.0839</v>
      </c>
      <c r="E10" s="669">
        <f>+Recon!F5</f>
        <v>67.673299999999998</v>
      </c>
      <c r="F10" s="669"/>
    </row>
    <row r="11" spans="3:6" x14ac:dyDescent="0.25">
      <c r="D11" s="669">
        <f>D8-D10</f>
        <v>-1.5987999999964586E-3</v>
      </c>
      <c r="E11" s="669">
        <f t="shared" ref="E11" si="0">E8-E10</f>
        <v>-1.4384999999919046E-3</v>
      </c>
      <c r="F11" s="669"/>
    </row>
    <row r="13" spans="3:6" ht="48.6" customHeight="1" x14ac:dyDescent="0.25">
      <c r="C13" s="1152" t="s">
        <v>1012</v>
      </c>
      <c r="D13" s="1152"/>
      <c r="E13" s="1152"/>
      <c r="F13" s="1152"/>
    </row>
  </sheetData>
  <mergeCells count="1">
    <mergeCell ref="C13:F13"/>
  </mergeCells>
  <pageMargins left="0.7" right="0.7"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0912D-FE5F-404B-90EA-FBF0A6A20036}">
  <sheetPr>
    <pageSetUpPr fitToPage="1"/>
  </sheetPr>
  <dimension ref="B2:U74"/>
  <sheetViews>
    <sheetView showGridLines="0" view="pageBreakPreview" topLeftCell="A44" zoomScale="60" zoomScaleNormal="75" workbookViewId="0">
      <selection activeCell="C45" sqref="C45:J74"/>
    </sheetView>
  </sheetViews>
  <sheetFormatPr defaultColWidth="9.33203125" defaultRowHeight="13.8" x14ac:dyDescent="0.25"/>
  <cols>
    <col min="1" max="1" width="6.6640625" style="279" customWidth="1"/>
    <col min="2" max="2" width="59.33203125" style="280" bestFit="1" customWidth="1"/>
    <col min="3" max="3" width="36.44140625" style="279" customWidth="1"/>
    <col min="4" max="4" width="12" style="279" customWidth="1"/>
    <col min="5" max="5" width="11.6640625" style="279" customWidth="1"/>
    <col min="6" max="6" width="11.5546875" style="279" bestFit="1" customWidth="1"/>
    <col min="7" max="7" width="14.44140625" style="279" customWidth="1"/>
    <col min="8" max="8" width="13.6640625" style="279" customWidth="1"/>
    <col min="9" max="9" width="16" style="279" customWidth="1"/>
    <col min="10" max="10" width="14.33203125" style="279" customWidth="1"/>
    <col min="11" max="11" width="11.6640625" style="279" customWidth="1"/>
    <col min="12" max="12" width="11" style="279" customWidth="1"/>
    <col min="13" max="13" width="13.6640625" style="279" customWidth="1"/>
    <col min="14" max="14" width="16" style="279" customWidth="1"/>
    <col min="15" max="16384" width="9.33203125" style="279"/>
  </cols>
  <sheetData>
    <row r="2" spans="2:14" x14ac:dyDescent="0.25">
      <c r="C2" s="208"/>
      <c r="D2" s="208"/>
      <c r="E2" s="70" t="str">
        <f>Index!B2</f>
        <v>JAIGAD POWER TRANSCO LIMITED (JPTL)</v>
      </c>
      <c r="F2" s="208"/>
      <c r="G2" s="208"/>
      <c r="H2" s="208"/>
      <c r="I2" s="208"/>
    </row>
    <row r="3" spans="2:14" s="231" customFormat="1" x14ac:dyDescent="0.25">
      <c r="C3" s="232"/>
      <c r="D3" s="232"/>
      <c r="E3" s="70" t="s">
        <v>0</v>
      </c>
      <c r="F3" s="232"/>
      <c r="G3" s="232"/>
      <c r="H3" s="232"/>
      <c r="I3" s="232"/>
      <c r="J3" s="456"/>
      <c r="K3" s="456"/>
      <c r="L3" s="456"/>
      <c r="M3" s="456"/>
    </row>
    <row r="4" spans="2:14" s="231" customFormat="1" x14ac:dyDescent="0.25">
      <c r="C4" s="457"/>
      <c r="D4" s="457"/>
      <c r="E4" s="458" t="s">
        <v>556</v>
      </c>
      <c r="F4" s="457"/>
      <c r="G4" s="457"/>
      <c r="H4" s="457"/>
      <c r="I4" s="457"/>
      <c r="J4" s="457"/>
      <c r="K4" s="457"/>
      <c r="L4" s="457"/>
      <c r="M4" s="457"/>
      <c r="N4" s="457"/>
    </row>
    <row r="5" spans="2:14" s="231" customFormat="1" x14ac:dyDescent="0.25">
      <c r="B5" s="458"/>
      <c r="C5" s="458"/>
      <c r="D5" s="458"/>
      <c r="E5" s="458"/>
      <c r="F5" s="458"/>
      <c r="G5" s="458"/>
      <c r="H5" s="458"/>
      <c r="I5" s="458"/>
      <c r="J5" s="457"/>
      <c r="K5" s="457"/>
      <c r="L5" s="457"/>
      <c r="M5" s="457"/>
      <c r="N5" s="457"/>
    </row>
    <row r="6" spans="2:14" s="231" customFormat="1" x14ac:dyDescent="0.25">
      <c r="B6" s="459" t="s">
        <v>557</v>
      </c>
      <c r="C6" s="280"/>
      <c r="D6" s="280"/>
      <c r="E6" s="280"/>
      <c r="F6" s="280"/>
      <c r="G6" s="280"/>
      <c r="H6" s="280"/>
      <c r="I6" s="279"/>
      <c r="J6" s="279"/>
      <c r="K6" s="457"/>
      <c r="L6" s="457"/>
      <c r="M6" s="457"/>
      <c r="N6" s="457"/>
    </row>
    <row r="7" spans="2:14" s="231" customFormat="1" x14ac:dyDescent="0.25">
      <c r="B7" s="459"/>
      <c r="C7" s="280"/>
      <c r="D7" s="280"/>
      <c r="E7" s="280"/>
      <c r="F7" s="280"/>
      <c r="G7" s="280"/>
      <c r="H7" s="280"/>
      <c r="I7" s="279"/>
      <c r="J7" s="279"/>
      <c r="K7" s="457"/>
      <c r="L7" s="457"/>
      <c r="M7" s="457"/>
      <c r="N7" s="457"/>
    </row>
    <row r="8" spans="2:14" s="231" customFormat="1" x14ac:dyDescent="0.25">
      <c r="B8" s="208" t="s">
        <v>558</v>
      </c>
      <c r="C8" s="280"/>
      <c r="D8" s="280"/>
      <c r="E8" s="280"/>
      <c r="F8" s="280"/>
      <c r="G8" s="280"/>
      <c r="H8" s="280"/>
      <c r="I8" s="279"/>
      <c r="J8" s="279"/>
      <c r="K8" s="457"/>
      <c r="L8" s="457"/>
      <c r="M8" s="457"/>
      <c r="N8" s="457"/>
    </row>
    <row r="9" spans="2:14" s="231" customFormat="1" x14ac:dyDescent="0.25">
      <c r="B9" s="279"/>
      <c r="C9" s="279"/>
      <c r="D9" s="279"/>
      <c r="E9" s="279"/>
      <c r="F9" s="279"/>
      <c r="G9" s="279"/>
      <c r="H9" s="279"/>
      <c r="I9" s="279"/>
      <c r="J9" s="279"/>
      <c r="K9" s="457"/>
      <c r="L9" s="457"/>
      <c r="M9" s="457"/>
      <c r="N9" s="457"/>
    </row>
    <row r="10" spans="2:14" s="231" customFormat="1" x14ac:dyDescent="0.25">
      <c r="B10" s="1153" t="s">
        <v>74</v>
      </c>
      <c r="C10" s="1155" t="s">
        <v>559</v>
      </c>
      <c r="D10" s="1156"/>
      <c r="E10" s="1157"/>
      <c r="F10" s="1155" t="s">
        <v>560</v>
      </c>
      <c r="G10" s="1156"/>
      <c r="H10" s="1157"/>
      <c r="I10" s="952" t="s">
        <v>561</v>
      </c>
      <c r="J10" s="952" t="s">
        <v>562</v>
      </c>
      <c r="K10" s="457"/>
      <c r="L10" s="457"/>
      <c r="M10" s="457"/>
      <c r="N10" s="457"/>
    </row>
    <row r="11" spans="2:14" s="231" customFormat="1" ht="27.6" x14ac:dyDescent="0.25">
      <c r="B11" s="1154"/>
      <c r="C11" s="460" t="s">
        <v>563</v>
      </c>
      <c r="D11" s="460" t="s">
        <v>564</v>
      </c>
      <c r="E11" s="460" t="s">
        <v>565</v>
      </c>
      <c r="F11" s="460" t="s">
        <v>566</v>
      </c>
      <c r="G11" s="460" t="s">
        <v>564</v>
      </c>
      <c r="H11" s="439" t="s">
        <v>567</v>
      </c>
      <c r="I11" s="952"/>
      <c r="J11" s="952"/>
      <c r="K11" s="457"/>
      <c r="L11" s="457"/>
      <c r="M11" s="457"/>
      <c r="N11" s="457"/>
    </row>
    <row r="12" spans="2:14" s="231" customFormat="1" x14ac:dyDescent="0.25">
      <c r="B12" s="461"/>
      <c r="C12" s="1158" t="s">
        <v>1042</v>
      </c>
      <c r="D12" s="1159"/>
      <c r="E12" s="1159"/>
      <c r="F12" s="1159"/>
      <c r="G12" s="1159"/>
      <c r="H12" s="1159"/>
      <c r="I12" s="1159"/>
      <c r="J12" s="1160"/>
      <c r="K12" s="457"/>
      <c r="L12" s="457"/>
      <c r="M12" s="457"/>
      <c r="N12" s="457"/>
    </row>
    <row r="13" spans="2:14" s="231" customFormat="1" x14ac:dyDescent="0.25">
      <c r="B13" s="464" t="s">
        <v>568</v>
      </c>
      <c r="C13" s="1161"/>
      <c r="D13" s="1162"/>
      <c r="E13" s="1162"/>
      <c r="F13" s="1162"/>
      <c r="G13" s="1162"/>
      <c r="H13" s="1162"/>
      <c r="I13" s="1162"/>
      <c r="J13" s="1163"/>
      <c r="K13" s="457"/>
      <c r="L13" s="457"/>
      <c r="M13" s="457"/>
      <c r="N13" s="457"/>
    </row>
    <row r="14" spans="2:14" s="231" customFormat="1" x14ac:dyDescent="0.25">
      <c r="B14" s="464"/>
      <c r="C14" s="1161"/>
      <c r="D14" s="1162"/>
      <c r="E14" s="1162"/>
      <c r="F14" s="1162"/>
      <c r="G14" s="1162"/>
      <c r="H14" s="1162"/>
      <c r="I14" s="1162"/>
      <c r="J14" s="1163"/>
      <c r="K14" s="457"/>
      <c r="L14" s="457"/>
      <c r="M14" s="457"/>
      <c r="N14" s="457"/>
    </row>
    <row r="15" spans="2:14" s="231" customFormat="1" x14ac:dyDescent="0.25">
      <c r="B15" s="432" t="s">
        <v>569</v>
      </c>
      <c r="C15" s="1161"/>
      <c r="D15" s="1162"/>
      <c r="E15" s="1162"/>
      <c r="F15" s="1162"/>
      <c r="G15" s="1162"/>
      <c r="H15" s="1162"/>
      <c r="I15" s="1162"/>
      <c r="J15" s="1163"/>
      <c r="K15" s="457"/>
      <c r="L15" s="457"/>
      <c r="M15" s="457"/>
      <c r="N15" s="457"/>
    </row>
    <row r="16" spans="2:14" s="231" customFormat="1" x14ac:dyDescent="0.25">
      <c r="B16" s="432" t="s">
        <v>569</v>
      </c>
      <c r="C16" s="1161"/>
      <c r="D16" s="1162"/>
      <c r="E16" s="1162"/>
      <c r="F16" s="1162"/>
      <c r="G16" s="1162"/>
      <c r="H16" s="1162"/>
      <c r="I16" s="1162"/>
      <c r="J16" s="1163"/>
      <c r="K16" s="457"/>
      <c r="L16" s="457"/>
      <c r="M16" s="457"/>
      <c r="N16" s="457"/>
    </row>
    <row r="17" spans="2:14" s="231" customFormat="1" x14ac:dyDescent="0.25">
      <c r="B17" s="432" t="s">
        <v>569</v>
      </c>
      <c r="C17" s="1161"/>
      <c r="D17" s="1162"/>
      <c r="E17" s="1162"/>
      <c r="F17" s="1162"/>
      <c r="G17" s="1162"/>
      <c r="H17" s="1162"/>
      <c r="I17" s="1162"/>
      <c r="J17" s="1163"/>
      <c r="K17" s="457"/>
      <c r="L17" s="457"/>
      <c r="M17" s="457"/>
      <c r="N17" s="457"/>
    </row>
    <row r="18" spans="2:14" s="231" customFormat="1" x14ac:dyDescent="0.25">
      <c r="B18" s="432" t="s">
        <v>569</v>
      </c>
      <c r="C18" s="1161"/>
      <c r="D18" s="1162"/>
      <c r="E18" s="1162"/>
      <c r="F18" s="1162"/>
      <c r="G18" s="1162"/>
      <c r="H18" s="1162"/>
      <c r="I18" s="1162"/>
      <c r="J18" s="1163"/>
      <c r="K18" s="457"/>
      <c r="L18" s="457"/>
      <c r="M18" s="457"/>
      <c r="N18" s="457"/>
    </row>
    <row r="19" spans="2:14" s="231" customFormat="1" x14ac:dyDescent="0.25">
      <c r="B19" s="432" t="s">
        <v>569</v>
      </c>
      <c r="C19" s="1161"/>
      <c r="D19" s="1162"/>
      <c r="E19" s="1162"/>
      <c r="F19" s="1162"/>
      <c r="G19" s="1162"/>
      <c r="H19" s="1162"/>
      <c r="I19" s="1162"/>
      <c r="J19" s="1163"/>
      <c r="K19" s="457"/>
      <c r="L19" s="457"/>
      <c r="M19" s="457"/>
      <c r="N19" s="457"/>
    </row>
    <row r="20" spans="2:14" s="231" customFormat="1" x14ac:dyDescent="0.25">
      <c r="B20" s="432" t="s">
        <v>569</v>
      </c>
      <c r="C20" s="1161"/>
      <c r="D20" s="1162"/>
      <c r="E20" s="1162"/>
      <c r="F20" s="1162"/>
      <c r="G20" s="1162"/>
      <c r="H20" s="1162"/>
      <c r="I20" s="1162"/>
      <c r="J20" s="1163"/>
      <c r="K20" s="457"/>
      <c r="L20" s="457"/>
      <c r="M20" s="457"/>
      <c r="N20" s="457"/>
    </row>
    <row r="21" spans="2:14" s="231" customFormat="1" x14ac:dyDescent="0.25">
      <c r="B21" s="432" t="s">
        <v>569</v>
      </c>
      <c r="C21" s="1161"/>
      <c r="D21" s="1162"/>
      <c r="E21" s="1162"/>
      <c r="F21" s="1162"/>
      <c r="G21" s="1162"/>
      <c r="H21" s="1162"/>
      <c r="I21" s="1162"/>
      <c r="J21" s="1163"/>
      <c r="K21" s="457"/>
      <c r="L21" s="457"/>
      <c r="M21" s="457"/>
      <c r="N21" s="457"/>
    </row>
    <row r="22" spans="2:14" s="231" customFormat="1" x14ac:dyDescent="0.25">
      <c r="B22" s="432" t="s">
        <v>569</v>
      </c>
      <c r="C22" s="1161"/>
      <c r="D22" s="1162"/>
      <c r="E22" s="1162"/>
      <c r="F22" s="1162"/>
      <c r="G22" s="1162"/>
      <c r="H22" s="1162"/>
      <c r="I22" s="1162"/>
      <c r="J22" s="1163"/>
      <c r="K22" s="457"/>
      <c r="L22" s="457"/>
      <c r="M22" s="457"/>
      <c r="N22" s="457"/>
    </row>
    <row r="23" spans="2:14" s="231" customFormat="1" x14ac:dyDescent="0.25">
      <c r="B23" s="432" t="s">
        <v>569</v>
      </c>
      <c r="C23" s="1161"/>
      <c r="D23" s="1162"/>
      <c r="E23" s="1162"/>
      <c r="F23" s="1162"/>
      <c r="G23" s="1162"/>
      <c r="H23" s="1162"/>
      <c r="I23" s="1162"/>
      <c r="J23" s="1163"/>
      <c r="K23" s="457"/>
      <c r="L23" s="457"/>
      <c r="M23" s="457"/>
      <c r="N23" s="457"/>
    </row>
    <row r="24" spans="2:14" s="231" customFormat="1" x14ac:dyDescent="0.25">
      <c r="B24" s="432"/>
      <c r="C24" s="1161"/>
      <c r="D24" s="1162"/>
      <c r="E24" s="1162"/>
      <c r="F24" s="1162"/>
      <c r="G24" s="1162"/>
      <c r="H24" s="1162"/>
      <c r="I24" s="1162"/>
      <c r="J24" s="1163"/>
      <c r="K24" s="457"/>
      <c r="L24" s="457"/>
      <c r="M24" s="457"/>
      <c r="N24" s="457"/>
    </row>
    <row r="25" spans="2:14" s="231" customFormat="1" x14ac:dyDescent="0.25">
      <c r="B25" s="464" t="s">
        <v>180</v>
      </c>
      <c r="C25" s="1161"/>
      <c r="D25" s="1162"/>
      <c r="E25" s="1162"/>
      <c r="F25" s="1162"/>
      <c r="G25" s="1162"/>
      <c r="H25" s="1162"/>
      <c r="I25" s="1162"/>
      <c r="J25" s="1163"/>
      <c r="K25" s="457"/>
      <c r="L25" s="457"/>
      <c r="M25" s="457"/>
      <c r="N25" s="457"/>
    </row>
    <row r="26" spans="2:14" s="231" customFormat="1" x14ac:dyDescent="0.25">
      <c r="B26" s="464"/>
      <c r="C26" s="1161"/>
      <c r="D26" s="1162"/>
      <c r="E26" s="1162"/>
      <c r="F26" s="1162"/>
      <c r="G26" s="1162"/>
      <c r="H26" s="1162"/>
      <c r="I26" s="1162"/>
      <c r="J26" s="1163"/>
      <c r="K26" s="457"/>
      <c r="L26" s="457"/>
      <c r="M26" s="457"/>
      <c r="N26" s="457"/>
    </row>
    <row r="27" spans="2:14" s="231" customFormat="1" x14ac:dyDescent="0.25">
      <c r="B27" s="464"/>
      <c r="C27" s="1161"/>
      <c r="D27" s="1162"/>
      <c r="E27" s="1162"/>
      <c r="F27" s="1162"/>
      <c r="G27" s="1162"/>
      <c r="H27" s="1162"/>
      <c r="I27" s="1162"/>
      <c r="J27" s="1163"/>
      <c r="K27" s="457"/>
      <c r="L27" s="457"/>
      <c r="M27" s="457"/>
      <c r="N27" s="457"/>
    </row>
    <row r="28" spans="2:14" s="231" customFormat="1" x14ac:dyDescent="0.25">
      <c r="B28" s="464" t="s">
        <v>568</v>
      </c>
      <c r="C28" s="1161"/>
      <c r="D28" s="1162"/>
      <c r="E28" s="1162"/>
      <c r="F28" s="1162"/>
      <c r="G28" s="1162"/>
      <c r="H28" s="1162"/>
      <c r="I28" s="1162"/>
      <c r="J28" s="1163"/>
      <c r="K28" s="457"/>
      <c r="L28" s="457"/>
      <c r="M28" s="457"/>
      <c r="N28" s="457"/>
    </row>
    <row r="29" spans="2:14" s="231" customFormat="1" x14ac:dyDescent="0.25">
      <c r="B29" s="432"/>
      <c r="C29" s="1161"/>
      <c r="D29" s="1162"/>
      <c r="E29" s="1162"/>
      <c r="F29" s="1162"/>
      <c r="G29" s="1162"/>
      <c r="H29" s="1162"/>
      <c r="I29" s="1162"/>
      <c r="J29" s="1163"/>
      <c r="K29" s="457"/>
      <c r="L29" s="457"/>
      <c r="M29" s="457"/>
      <c r="N29" s="457"/>
    </row>
    <row r="30" spans="2:14" s="231" customFormat="1" x14ac:dyDescent="0.25">
      <c r="B30" s="432" t="s">
        <v>570</v>
      </c>
      <c r="C30" s="1161"/>
      <c r="D30" s="1162"/>
      <c r="E30" s="1162"/>
      <c r="F30" s="1162"/>
      <c r="G30" s="1162"/>
      <c r="H30" s="1162"/>
      <c r="I30" s="1162"/>
      <c r="J30" s="1163"/>
      <c r="K30" s="457"/>
      <c r="L30" s="457"/>
      <c r="M30" s="457"/>
      <c r="N30" s="457"/>
    </row>
    <row r="31" spans="2:14" s="231" customFormat="1" x14ac:dyDescent="0.25">
      <c r="B31" s="432" t="s">
        <v>570</v>
      </c>
      <c r="C31" s="1161"/>
      <c r="D31" s="1162"/>
      <c r="E31" s="1162"/>
      <c r="F31" s="1162"/>
      <c r="G31" s="1162"/>
      <c r="H31" s="1162"/>
      <c r="I31" s="1162"/>
      <c r="J31" s="1163"/>
      <c r="K31" s="457"/>
      <c r="L31" s="457"/>
      <c r="M31" s="457"/>
      <c r="N31" s="457"/>
    </row>
    <row r="32" spans="2:14" s="231" customFormat="1" x14ac:dyDescent="0.25">
      <c r="B32" s="432" t="s">
        <v>570</v>
      </c>
      <c r="C32" s="1161"/>
      <c r="D32" s="1162"/>
      <c r="E32" s="1162"/>
      <c r="F32" s="1162"/>
      <c r="G32" s="1162"/>
      <c r="H32" s="1162"/>
      <c r="I32" s="1162"/>
      <c r="J32" s="1163"/>
      <c r="K32" s="457"/>
      <c r="L32" s="457"/>
      <c r="M32" s="457"/>
      <c r="N32" s="457"/>
    </row>
    <row r="33" spans="2:21" s="231" customFormat="1" x14ac:dyDescent="0.25">
      <c r="B33" s="432" t="s">
        <v>570</v>
      </c>
      <c r="C33" s="1161"/>
      <c r="D33" s="1162"/>
      <c r="E33" s="1162"/>
      <c r="F33" s="1162"/>
      <c r="G33" s="1162"/>
      <c r="H33" s="1162"/>
      <c r="I33" s="1162"/>
      <c r="J33" s="1163"/>
      <c r="K33" s="457"/>
      <c r="L33" s="457"/>
      <c r="M33" s="457"/>
      <c r="N33" s="457"/>
    </row>
    <row r="34" spans="2:21" s="231" customFormat="1" x14ac:dyDescent="0.25">
      <c r="B34" s="432"/>
      <c r="C34" s="1161"/>
      <c r="D34" s="1162"/>
      <c r="E34" s="1162"/>
      <c r="F34" s="1162"/>
      <c r="G34" s="1162"/>
      <c r="H34" s="1162"/>
      <c r="I34" s="1162"/>
      <c r="J34" s="1163"/>
      <c r="K34" s="457"/>
      <c r="L34" s="457"/>
      <c r="M34" s="457"/>
      <c r="N34" s="457"/>
    </row>
    <row r="35" spans="2:21" s="231" customFormat="1" x14ac:dyDescent="0.25">
      <c r="B35" s="464" t="s">
        <v>180</v>
      </c>
      <c r="C35" s="1164"/>
      <c r="D35" s="1165"/>
      <c r="E35" s="1165"/>
      <c r="F35" s="1165"/>
      <c r="G35" s="1165"/>
      <c r="H35" s="1165"/>
      <c r="I35" s="1165"/>
      <c r="J35" s="1166"/>
      <c r="K35" s="457"/>
      <c r="L35" s="457"/>
      <c r="M35" s="457"/>
      <c r="N35" s="457"/>
    </row>
    <row r="36" spans="2:21" s="231" customFormat="1" x14ac:dyDescent="0.25">
      <c r="B36" s="208"/>
      <c r="C36" s="280"/>
      <c r="D36" s="280"/>
      <c r="E36" s="280"/>
      <c r="F36" s="280"/>
      <c r="G36" s="280"/>
      <c r="H36" s="280"/>
      <c r="I36" s="279"/>
      <c r="J36" s="279"/>
      <c r="K36" s="457"/>
      <c r="L36" s="457"/>
      <c r="M36" s="457"/>
      <c r="N36" s="457"/>
    </row>
    <row r="37" spans="2:21" s="231" customFormat="1" x14ac:dyDescent="0.25">
      <c r="B37" s="458"/>
      <c r="C37" s="458"/>
      <c r="D37" s="458"/>
      <c r="E37" s="458"/>
      <c r="F37" s="458"/>
      <c r="G37" s="458"/>
      <c r="H37" s="458"/>
      <c r="I37" s="458"/>
      <c r="J37" s="457"/>
      <c r="K37" s="457"/>
      <c r="L37" s="457"/>
      <c r="M37" s="457"/>
      <c r="N37" s="457"/>
    </row>
    <row r="38" spans="2:21" x14ac:dyDescent="0.25">
      <c r="B38" s="459" t="s">
        <v>573</v>
      </c>
      <c r="C38" s="280"/>
      <c r="D38" s="280"/>
      <c r="E38" s="280"/>
      <c r="F38" s="280"/>
      <c r="G38" s="280"/>
      <c r="H38" s="280"/>
    </row>
    <row r="39" spans="2:21" x14ac:dyDescent="0.25">
      <c r="B39" s="459"/>
      <c r="C39" s="280"/>
      <c r="D39" s="280"/>
      <c r="E39" s="280"/>
      <c r="F39" s="280"/>
      <c r="G39" s="280"/>
      <c r="H39" s="280"/>
    </row>
    <row r="40" spans="2:21" x14ac:dyDescent="0.25">
      <c r="B40" s="208" t="s">
        <v>558</v>
      </c>
      <c r="C40" s="280"/>
      <c r="D40" s="280"/>
      <c r="E40" s="280"/>
      <c r="F40" s="280"/>
      <c r="G40" s="280"/>
      <c r="H40" s="280"/>
    </row>
    <row r="41" spans="2:21" x14ac:dyDescent="0.25">
      <c r="B41" s="279"/>
    </row>
    <row r="42" spans="2:21" x14ac:dyDescent="0.25">
      <c r="B42" s="1153" t="s">
        <v>74</v>
      </c>
      <c r="C42" s="1155" t="s">
        <v>559</v>
      </c>
      <c r="D42" s="1156"/>
      <c r="E42" s="1157"/>
      <c r="F42" s="1155" t="s">
        <v>560</v>
      </c>
      <c r="G42" s="1156"/>
      <c r="H42" s="1157"/>
      <c r="I42" s="952" t="s">
        <v>561</v>
      </c>
      <c r="J42" s="952" t="s">
        <v>562</v>
      </c>
    </row>
    <row r="43" spans="2:21" ht="27.6" x14ac:dyDescent="0.25">
      <c r="B43" s="1154"/>
      <c r="C43" s="460" t="s">
        <v>563</v>
      </c>
      <c r="D43" s="460" t="s">
        <v>564</v>
      </c>
      <c r="E43" s="460" t="s">
        <v>565</v>
      </c>
      <c r="F43" s="460" t="s">
        <v>566</v>
      </c>
      <c r="G43" s="460" t="s">
        <v>564</v>
      </c>
      <c r="H43" s="439" t="s">
        <v>567</v>
      </c>
      <c r="I43" s="952"/>
      <c r="J43" s="952"/>
    </row>
    <row r="44" spans="2:21" x14ac:dyDescent="0.25">
      <c r="B44" s="461"/>
      <c r="C44" s="462"/>
      <c r="D44" s="462"/>
      <c r="E44" s="462"/>
      <c r="F44" s="462"/>
      <c r="G44" s="462"/>
      <c r="H44" s="463"/>
      <c r="I44" s="463"/>
      <c r="J44" s="463"/>
    </row>
    <row r="45" spans="2:21" s="208" customFormat="1" x14ac:dyDescent="0.25">
      <c r="B45" s="464" t="s">
        <v>568</v>
      </c>
      <c r="C45" s="1158" t="s">
        <v>1042</v>
      </c>
      <c r="D45" s="1159"/>
      <c r="E45" s="1159"/>
      <c r="F45" s="1159"/>
      <c r="G45" s="1159"/>
      <c r="H45" s="1159"/>
      <c r="I45" s="1159"/>
      <c r="J45" s="1160"/>
      <c r="K45" s="279"/>
      <c r="L45" s="279"/>
      <c r="M45" s="279"/>
      <c r="N45" s="279"/>
      <c r="O45" s="279"/>
      <c r="P45" s="279"/>
      <c r="Q45" s="279"/>
      <c r="R45" s="279"/>
      <c r="S45" s="279"/>
      <c r="T45" s="279"/>
      <c r="U45" s="279"/>
    </row>
    <row r="46" spans="2:21" s="208" customFormat="1" x14ac:dyDescent="0.25">
      <c r="B46" s="464"/>
      <c r="C46" s="1161"/>
      <c r="D46" s="1162"/>
      <c r="E46" s="1162"/>
      <c r="F46" s="1162"/>
      <c r="G46" s="1162"/>
      <c r="H46" s="1162"/>
      <c r="I46" s="1162"/>
      <c r="J46" s="1163"/>
      <c r="K46" s="279"/>
      <c r="L46" s="279"/>
      <c r="M46" s="279"/>
      <c r="N46" s="279"/>
      <c r="O46" s="279"/>
      <c r="P46" s="279"/>
      <c r="Q46" s="279"/>
      <c r="R46" s="279"/>
      <c r="S46" s="279"/>
      <c r="T46" s="279"/>
      <c r="U46" s="279"/>
    </row>
    <row r="47" spans="2:21" s="208" customFormat="1" x14ac:dyDescent="0.25">
      <c r="B47" s="432" t="s">
        <v>569</v>
      </c>
      <c r="C47" s="1161"/>
      <c r="D47" s="1162"/>
      <c r="E47" s="1162"/>
      <c r="F47" s="1162"/>
      <c r="G47" s="1162"/>
      <c r="H47" s="1162"/>
      <c r="I47" s="1162"/>
      <c r="J47" s="1163"/>
      <c r="K47" s="279"/>
      <c r="L47" s="279"/>
      <c r="M47" s="279"/>
      <c r="N47" s="279"/>
      <c r="O47" s="279"/>
      <c r="P47" s="279"/>
      <c r="Q47" s="279"/>
      <c r="R47" s="279"/>
      <c r="S47" s="279"/>
      <c r="T47" s="279"/>
      <c r="U47" s="279"/>
    </row>
    <row r="48" spans="2:21" s="208" customFormat="1" x14ac:dyDescent="0.25">
      <c r="B48" s="432" t="s">
        <v>569</v>
      </c>
      <c r="C48" s="1161"/>
      <c r="D48" s="1162"/>
      <c r="E48" s="1162"/>
      <c r="F48" s="1162"/>
      <c r="G48" s="1162"/>
      <c r="H48" s="1162"/>
      <c r="I48" s="1162"/>
      <c r="J48" s="1163"/>
      <c r="K48" s="279"/>
      <c r="L48" s="279"/>
      <c r="M48" s="279"/>
      <c r="N48" s="279"/>
      <c r="O48" s="279"/>
      <c r="P48" s="279"/>
      <c r="Q48" s="279"/>
      <c r="R48" s="279"/>
      <c r="S48" s="279"/>
      <c r="T48" s="279"/>
      <c r="U48" s="279"/>
    </row>
    <row r="49" spans="2:21" s="208" customFormat="1" x14ac:dyDescent="0.25">
      <c r="B49" s="432" t="s">
        <v>569</v>
      </c>
      <c r="C49" s="1161"/>
      <c r="D49" s="1162"/>
      <c r="E49" s="1162"/>
      <c r="F49" s="1162"/>
      <c r="G49" s="1162"/>
      <c r="H49" s="1162"/>
      <c r="I49" s="1162"/>
      <c r="J49" s="1163"/>
      <c r="K49" s="279"/>
      <c r="L49" s="279"/>
      <c r="M49" s="279"/>
      <c r="N49" s="279"/>
      <c r="O49" s="279"/>
      <c r="P49" s="279"/>
      <c r="Q49" s="279"/>
      <c r="R49" s="279"/>
      <c r="S49" s="279"/>
      <c r="T49" s="279"/>
      <c r="U49" s="279"/>
    </row>
    <row r="50" spans="2:21" s="208" customFormat="1" x14ac:dyDescent="0.25">
      <c r="B50" s="432" t="s">
        <v>569</v>
      </c>
      <c r="C50" s="1161"/>
      <c r="D50" s="1162"/>
      <c r="E50" s="1162"/>
      <c r="F50" s="1162"/>
      <c r="G50" s="1162"/>
      <c r="H50" s="1162"/>
      <c r="I50" s="1162"/>
      <c r="J50" s="1163"/>
      <c r="K50" s="279"/>
      <c r="L50" s="279"/>
      <c r="M50" s="279"/>
      <c r="N50" s="279"/>
      <c r="O50" s="279"/>
      <c r="P50" s="279"/>
      <c r="Q50" s="279"/>
      <c r="R50" s="279"/>
      <c r="S50" s="279"/>
      <c r="T50" s="279"/>
      <c r="U50" s="279"/>
    </row>
    <row r="51" spans="2:21" x14ac:dyDescent="0.25">
      <c r="B51" s="432"/>
      <c r="C51" s="1161"/>
      <c r="D51" s="1162"/>
      <c r="E51" s="1162"/>
      <c r="F51" s="1162"/>
      <c r="G51" s="1162"/>
      <c r="H51" s="1162"/>
      <c r="I51" s="1162"/>
      <c r="J51" s="1163"/>
    </row>
    <row r="52" spans="2:21" x14ac:dyDescent="0.25">
      <c r="B52" s="432"/>
      <c r="C52" s="1161"/>
      <c r="D52" s="1162"/>
      <c r="E52" s="1162"/>
      <c r="F52" s="1162"/>
      <c r="G52" s="1162"/>
      <c r="H52" s="1162"/>
      <c r="I52" s="1162"/>
      <c r="J52" s="1163"/>
    </row>
    <row r="53" spans="2:21" x14ac:dyDescent="0.25">
      <c r="B53" s="432" t="s">
        <v>570</v>
      </c>
      <c r="C53" s="1161"/>
      <c r="D53" s="1162"/>
      <c r="E53" s="1162"/>
      <c r="F53" s="1162"/>
      <c r="G53" s="1162"/>
      <c r="H53" s="1162"/>
      <c r="I53" s="1162"/>
      <c r="J53" s="1163"/>
    </row>
    <row r="54" spans="2:21" s="208" customFormat="1" x14ac:dyDescent="0.25">
      <c r="B54" s="432" t="s">
        <v>570</v>
      </c>
      <c r="C54" s="1161"/>
      <c r="D54" s="1162"/>
      <c r="E54" s="1162"/>
      <c r="F54" s="1162"/>
      <c r="G54" s="1162"/>
      <c r="H54" s="1162"/>
      <c r="I54" s="1162"/>
      <c r="J54" s="1163"/>
      <c r="K54" s="279"/>
      <c r="L54" s="279"/>
      <c r="M54" s="279"/>
      <c r="N54" s="279"/>
      <c r="O54" s="279"/>
      <c r="P54" s="279"/>
      <c r="Q54" s="279"/>
      <c r="R54" s="279"/>
      <c r="S54" s="279"/>
      <c r="T54" s="279"/>
      <c r="U54" s="279"/>
    </row>
    <row r="55" spans="2:21" x14ac:dyDescent="0.25">
      <c r="B55" s="432"/>
      <c r="C55" s="1161"/>
      <c r="D55" s="1162"/>
      <c r="E55" s="1162"/>
      <c r="F55" s="1162"/>
      <c r="G55" s="1162"/>
      <c r="H55" s="1162"/>
      <c r="I55" s="1162"/>
      <c r="J55" s="1163"/>
    </row>
    <row r="56" spans="2:21" x14ac:dyDescent="0.25">
      <c r="B56" s="432"/>
      <c r="C56" s="1161"/>
      <c r="D56" s="1162"/>
      <c r="E56" s="1162"/>
      <c r="F56" s="1162"/>
      <c r="G56" s="1162"/>
      <c r="H56" s="1162"/>
      <c r="I56" s="1162"/>
      <c r="J56" s="1163"/>
    </row>
    <row r="57" spans="2:21" x14ac:dyDescent="0.25">
      <c r="B57" s="432" t="s">
        <v>571</v>
      </c>
      <c r="C57" s="1161"/>
      <c r="D57" s="1162"/>
      <c r="E57" s="1162"/>
      <c r="F57" s="1162"/>
      <c r="G57" s="1162"/>
      <c r="H57" s="1162"/>
      <c r="I57" s="1162"/>
      <c r="J57" s="1163"/>
    </row>
    <row r="58" spans="2:21" x14ac:dyDescent="0.25">
      <c r="B58" s="432"/>
      <c r="C58" s="1161"/>
      <c r="D58" s="1162"/>
      <c r="E58" s="1162"/>
      <c r="F58" s="1162"/>
      <c r="G58" s="1162"/>
      <c r="H58" s="1162"/>
      <c r="I58" s="1162"/>
      <c r="J58" s="1163"/>
    </row>
    <row r="59" spans="2:21" x14ac:dyDescent="0.25">
      <c r="B59" s="432"/>
      <c r="C59" s="1161"/>
      <c r="D59" s="1162"/>
      <c r="E59" s="1162"/>
      <c r="F59" s="1162"/>
      <c r="G59" s="1162"/>
      <c r="H59" s="1162"/>
      <c r="I59" s="1162"/>
      <c r="J59" s="1163"/>
    </row>
    <row r="60" spans="2:21" x14ac:dyDescent="0.25">
      <c r="B60" s="432" t="s">
        <v>866</v>
      </c>
      <c r="C60" s="1161"/>
      <c r="D60" s="1162"/>
      <c r="E60" s="1162"/>
      <c r="F60" s="1162"/>
      <c r="G60" s="1162"/>
      <c r="H60" s="1162"/>
      <c r="I60" s="1162"/>
      <c r="J60" s="1163"/>
    </row>
    <row r="61" spans="2:21" x14ac:dyDescent="0.25">
      <c r="B61" s="432"/>
      <c r="C61" s="1161"/>
      <c r="D61" s="1162"/>
      <c r="E61" s="1162"/>
      <c r="F61" s="1162"/>
      <c r="G61" s="1162"/>
      <c r="H61" s="1162"/>
      <c r="I61" s="1162"/>
      <c r="J61" s="1163"/>
    </row>
    <row r="62" spans="2:21" x14ac:dyDescent="0.25">
      <c r="B62" s="432"/>
      <c r="C62" s="1161"/>
      <c r="D62" s="1162"/>
      <c r="E62" s="1162"/>
      <c r="F62" s="1162"/>
      <c r="G62" s="1162"/>
      <c r="H62" s="1162"/>
      <c r="I62" s="1162"/>
      <c r="J62" s="1163"/>
    </row>
    <row r="63" spans="2:21" x14ac:dyDescent="0.25">
      <c r="B63" s="432" t="s">
        <v>867</v>
      </c>
      <c r="C63" s="1161"/>
      <c r="D63" s="1162"/>
      <c r="E63" s="1162"/>
      <c r="F63" s="1162"/>
      <c r="G63" s="1162"/>
      <c r="H63" s="1162"/>
      <c r="I63" s="1162"/>
      <c r="J63" s="1163"/>
    </row>
    <row r="64" spans="2:21" x14ac:dyDescent="0.25">
      <c r="B64" s="432"/>
      <c r="C64" s="1161"/>
      <c r="D64" s="1162"/>
      <c r="E64" s="1162"/>
      <c r="F64" s="1162"/>
      <c r="G64" s="1162"/>
      <c r="H64" s="1162"/>
      <c r="I64" s="1162"/>
      <c r="J64" s="1163"/>
    </row>
    <row r="65" spans="2:10" x14ac:dyDescent="0.25">
      <c r="B65" s="432"/>
      <c r="C65" s="1161"/>
      <c r="D65" s="1162"/>
      <c r="E65" s="1162"/>
      <c r="F65" s="1162"/>
      <c r="G65" s="1162"/>
      <c r="H65" s="1162"/>
      <c r="I65" s="1162"/>
      <c r="J65" s="1163"/>
    </row>
    <row r="66" spans="2:10" x14ac:dyDescent="0.25">
      <c r="B66" s="432" t="s">
        <v>868</v>
      </c>
      <c r="C66" s="1161"/>
      <c r="D66" s="1162"/>
      <c r="E66" s="1162"/>
      <c r="F66" s="1162"/>
      <c r="G66" s="1162"/>
      <c r="H66" s="1162"/>
      <c r="I66" s="1162"/>
      <c r="J66" s="1163"/>
    </row>
    <row r="67" spans="2:10" x14ac:dyDescent="0.25">
      <c r="B67" s="432"/>
      <c r="C67" s="1161"/>
      <c r="D67" s="1162"/>
      <c r="E67" s="1162"/>
      <c r="F67" s="1162"/>
      <c r="G67" s="1162"/>
      <c r="H67" s="1162"/>
      <c r="I67" s="1162"/>
      <c r="J67" s="1163"/>
    </row>
    <row r="68" spans="2:10" x14ac:dyDescent="0.25">
      <c r="B68" s="432" t="s">
        <v>869</v>
      </c>
      <c r="C68" s="1161"/>
      <c r="D68" s="1162"/>
      <c r="E68" s="1162"/>
      <c r="F68" s="1162"/>
      <c r="G68" s="1162"/>
      <c r="H68" s="1162"/>
      <c r="I68" s="1162"/>
      <c r="J68" s="1163"/>
    </row>
    <row r="69" spans="2:10" x14ac:dyDescent="0.25">
      <c r="B69" s="432"/>
      <c r="C69" s="1161"/>
      <c r="D69" s="1162"/>
      <c r="E69" s="1162"/>
      <c r="F69" s="1162"/>
      <c r="G69" s="1162"/>
      <c r="H69" s="1162"/>
      <c r="I69" s="1162"/>
      <c r="J69" s="1163"/>
    </row>
    <row r="70" spans="2:10" x14ac:dyDescent="0.25">
      <c r="B70" s="432" t="s">
        <v>870</v>
      </c>
      <c r="C70" s="1161"/>
      <c r="D70" s="1162"/>
      <c r="E70" s="1162"/>
      <c r="F70" s="1162"/>
      <c r="G70" s="1162"/>
      <c r="H70" s="1162"/>
      <c r="I70" s="1162"/>
      <c r="J70" s="1163"/>
    </row>
    <row r="71" spans="2:10" x14ac:dyDescent="0.25">
      <c r="B71" s="432" t="s">
        <v>572</v>
      </c>
      <c r="C71" s="1161"/>
      <c r="D71" s="1162"/>
      <c r="E71" s="1162"/>
      <c r="F71" s="1162"/>
      <c r="G71" s="1162"/>
      <c r="H71" s="1162"/>
      <c r="I71" s="1162"/>
      <c r="J71" s="1163"/>
    </row>
    <row r="72" spans="2:10" x14ac:dyDescent="0.25">
      <c r="B72" s="464" t="s">
        <v>180</v>
      </c>
      <c r="C72" s="1161"/>
      <c r="D72" s="1162"/>
      <c r="E72" s="1162"/>
      <c r="F72" s="1162"/>
      <c r="G72" s="1162"/>
      <c r="H72" s="1162"/>
      <c r="I72" s="1162"/>
      <c r="J72" s="1163"/>
    </row>
    <row r="73" spans="2:10" x14ac:dyDescent="0.25">
      <c r="B73" s="464"/>
      <c r="C73" s="1161"/>
      <c r="D73" s="1162"/>
      <c r="E73" s="1162"/>
      <c r="F73" s="1162"/>
      <c r="G73" s="1162"/>
      <c r="H73" s="1162"/>
      <c r="I73" s="1162"/>
      <c r="J73" s="1163"/>
    </row>
    <row r="74" spans="2:10" x14ac:dyDescent="0.25">
      <c r="B74" s="464"/>
      <c r="C74" s="1164"/>
      <c r="D74" s="1165"/>
      <c r="E74" s="1165"/>
      <c r="F74" s="1165"/>
      <c r="G74" s="1165"/>
      <c r="H74" s="1165"/>
      <c r="I74" s="1165"/>
      <c r="J74" s="1166"/>
    </row>
  </sheetData>
  <mergeCells count="12">
    <mergeCell ref="C12:J35"/>
    <mergeCell ref="C45:J74"/>
    <mergeCell ref="B42:B43"/>
    <mergeCell ref="C42:E42"/>
    <mergeCell ref="F42:H42"/>
    <mergeCell ref="I42:I43"/>
    <mergeCell ref="J42:J43"/>
    <mergeCell ref="B10:B11"/>
    <mergeCell ref="C10:E10"/>
    <mergeCell ref="F10:H10"/>
    <mergeCell ref="I10:I11"/>
    <mergeCell ref="J10:J11"/>
  </mergeCells>
  <pageMargins left="0.51181102362204722" right="0.23622047244094491" top="0.43" bottom="0.39" header="0.23622047244094491" footer="0.23622047244094491"/>
  <pageSetup paperSize="9" scale="54"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B1:L15"/>
  <sheetViews>
    <sheetView showGridLines="0" view="pageBreakPreview" zoomScale="124" zoomScaleSheetLayoutView="80" workbookViewId="0">
      <selection activeCell="F11" sqref="F11"/>
    </sheetView>
  </sheetViews>
  <sheetFormatPr defaultColWidth="9.33203125" defaultRowHeight="13.8" x14ac:dyDescent="0.25"/>
  <cols>
    <col min="1" max="1" width="9.33203125" style="169"/>
    <col min="2" max="2" width="21.6640625" style="169" customWidth="1"/>
    <col min="3" max="3" width="23" style="169" customWidth="1"/>
    <col min="4" max="4" width="22.33203125" style="169" customWidth="1"/>
    <col min="5" max="5" width="21.6640625" style="169" customWidth="1"/>
    <col min="6" max="6" width="38" style="169" customWidth="1"/>
    <col min="7" max="7" width="24.44140625" style="169" customWidth="1"/>
    <col min="8" max="8" width="10.6640625" style="169" bestFit="1" customWidth="1"/>
    <col min="9" max="257" width="9.33203125" style="169"/>
    <col min="258" max="258" width="21.6640625" style="169" customWidth="1"/>
    <col min="259" max="259" width="27.6640625" style="169" customWidth="1"/>
    <col min="260" max="260" width="33.6640625" style="169" customWidth="1"/>
    <col min="261" max="261" width="60" style="169" customWidth="1"/>
    <col min="262" max="262" width="164.33203125" style="169" customWidth="1"/>
    <col min="263" max="263" width="24.44140625" style="169" customWidth="1"/>
    <col min="264" max="264" width="10.6640625" style="169" bestFit="1" customWidth="1"/>
    <col min="265" max="513" width="9.33203125" style="169"/>
    <col min="514" max="514" width="21.6640625" style="169" customWidth="1"/>
    <col min="515" max="515" width="27.6640625" style="169" customWidth="1"/>
    <col min="516" max="516" width="33.6640625" style="169" customWidth="1"/>
    <col min="517" max="517" width="60" style="169" customWidth="1"/>
    <col min="518" max="518" width="164.33203125" style="169" customWidth="1"/>
    <col min="519" max="519" width="24.44140625" style="169" customWidth="1"/>
    <col min="520" max="520" width="10.6640625" style="169" bestFit="1" customWidth="1"/>
    <col min="521" max="769" width="9.33203125" style="169"/>
    <col min="770" max="770" width="21.6640625" style="169" customWidth="1"/>
    <col min="771" max="771" width="27.6640625" style="169" customWidth="1"/>
    <col min="772" max="772" width="33.6640625" style="169" customWidth="1"/>
    <col min="773" max="773" width="60" style="169" customWidth="1"/>
    <col min="774" max="774" width="164.33203125" style="169" customWidth="1"/>
    <col min="775" max="775" width="24.44140625" style="169" customWidth="1"/>
    <col min="776" max="776" width="10.6640625" style="169" bestFit="1" customWidth="1"/>
    <col min="777" max="1025" width="9.33203125" style="169"/>
    <col min="1026" max="1026" width="21.6640625" style="169" customWidth="1"/>
    <col min="1027" max="1027" width="27.6640625" style="169" customWidth="1"/>
    <col min="1028" max="1028" width="33.6640625" style="169" customWidth="1"/>
    <col min="1029" max="1029" width="60" style="169" customWidth="1"/>
    <col min="1030" max="1030" width="164.33203125" style="169" customWidth="1"/>
    <col min="1031" max="1031" width="24.44140625" style="169" customWidth="1"/>
    <col min="1032" max="1032" width="10.6640625" style="169" bestFit="1" customWidth="1"/>
    <col min="1033" max="1281" width="9.33203125" style="169"/>
    <col min="1282" max="1282" width="21.6640625" style="169" customWidth="1"/>
    <col min="1283" max="1283" width="27.6640625" style="169" customWidth="1"/>
    <col min="1284" max="1284" width="33.6640625" style="169" customWidth="1"/>
    <col min="1285" max="1285" width="60" style="169" customWidth="1"/>
    <col min="1286" max="1286" width="164.33203125" style="169" customWidth="1"/>
    <col min="1287" max="1287" width="24.44140625" style="169" customWidth="1"/>
    <col min="1288" max="1288" width="10.6640625" style="169" bestFit="1" customWidth="1"/>
    <col min="1289" max="1537" width="9.33203125" style="169"/>
    <col min="1538" max="1538" width="21.6640625" style="169" customWidth="1"/>
    <col min="1539" max="1539" width="27.6640625" style="169" customWidth="1"/>
    <col min="1540" max="1540" width="33.6640625" style="169" customWidth="1"/>
    <col min="1541" max="1541" width="60" style="169" customWidth="1"/>
    <col min="1542" max="1542" width="164.33203125" style="169" customWidth="1"/>
    <col min="1543" max="1543" width="24.44140625" style="169" customWidth="1"/>
    <col min="1544" max="1544" width="10.6640625" style="169" bestFit="1" customWidth="1"/>
    <col min="1545" max="1793" width="9.33203125" style="169"/>
    <col min="1794" max="1794" width="21.6640625" style="169" customWidth="1"/>
    <col min="1795" max="1795" width="27.6640625" style="169" customWidth="1"/>
    <col min="1796" max="1796" width="33.6640625" style="169" customWidth="1"/>
    <col min="1797" max="1797" width="60" style="169" customWidth="1"/>
    <col min="1798" max="1798" width="164.33203125" style="169" customWidth="1"/>
    <col min="1799" max="1799" width="24.44140625" style="169" customWidth="1"/>
    <col min="1800" max="1800" width="10.6640625" style="169" bestFit="1" customWidth="1"/>
    <col min="1801" max="2049" width="9.33203125" style="169"/>
    <col min="2050" max="2050" width="21.6640625" style="169" customWidth="1"/>
    <col min="2051" max="2051" width="27.6640625" style="169" customWidth="1"/>
    <col min="2052" max="2052" width="33.6640625" style="169" customWidth="1"/>
    <col min="2053" max="2053" width="60" style="169" customWidth="1"/>
    <col min="2054" max="2054" width="164.33203125" style="169" customWidth="1"/>
    <col min="2055" max="2055" width="24.44140625" style="169" customWidth="1"/>
    <col min="2056" max="2056" width="10.6640625" style="169" bestFit="1" customWidth="1"/>
    <col min="2057" max="2305" width="9.33203125" style="169"/>
    <col min="2306" max="2306" width="21.6640625" style="169" customWidth="1"/>
    <col min="2307" max="2307" width="27.6640625" style="169" customWidth="1"/>
    <col min="2308" max="2308" width="33.6640625" style="169" customWidth="1"/>
    <col min="2309" max="2309" width="60" style="169" customWidth="1"/>
    <col min="2310" max="2310" width="164.33203125" style="169" customWidth="1"/>
    <col min="2311" max="2311" width="24.44140625" style="169" customWidth="1"/>
    <col min="2312" max="2312" width="10.6640625" style="169" bestFit="1" customWidth="1"/>
    <col min="2313" max="2561" width="9.33203125" style="169"/>
    <col min="2562" max="2562" width="21.6640625" style="169" customWidth="1"/>
    <col min="2563" max="2563" width="27.6640625" style="169" customWidth="1"/>
    <col min="2564" max="2564" width="33.6640625" style="169" customWidth="1"/>
    <col min="2565" max="2565" width="60" style="169" customWidth="1"/>
    <col min="2566" max="2566" width="164.33203125" style="169" customWidth="1"/>
    <col min="2567" max="2567" width="24.44140625" style="169" customWidth="1"/>
    <col min="2568" max="2568" width="10.6640625" style="169" bestFit="1" customWidth="1"/>
    <col min="2569" max="2817" width="9.33203125" style="169"/>
    <col min="2818" max="2818" width="21.6640625" style="169" customWidth="1"/>
    <col min="2819" max="2819" width="27.6640625" style="169" customWidth="1"/>
    <col min="2820" max="2820" width="33.6640625" style="169" customWidth="1"/>
    <col min="2821" max="2821" width="60" style="169" customWidth="1"/>
    <col min="2822" max="2822" width="164.33203125" style="169" customWidth="1"/>
    <col min="2823" max="2823" width="24.44140625" style="169" customWidth="1"/>
    <col min="2824" max="2824" width="10.6640625" style="169" bestFit="1" customWidth="1"/>
    <col min="2825" max="3073" width="9.33203125" style="169"/>
    <col min="3074" max="3074" width="21.6640625" style="169" customWidth="1"/>
    <col min="3075" max="3075" width="27.6640625" style="169" customWidth="1"/>
    <col min="3076" max="3076" width="33.6640625" style="169" customWidth="1"/>
    <col min="3077" max="3077" width="60" style="169" customWidth="1"/>
    <col min="3078" max="3078" width="164.33203125" style="169" customWidth="1"/>
    <col min="3079" max="3079" width="24.44140625" style="169" customWidth="1"/>
    <col min="3080" max="3080" width="10.6640625" style="169" bestFit="1" customWidth="1"/>
    <col min="3081" max="3329" width="9.33203125" style="169"/>
    <col min="3330" max="3330" width="21.6640625" style="169" customWidth="1"/>
    <col min="3331" max="3331" width="27.6640625" style="169" customWidth="1"/>
    <col min="3332" max="3332" width="33.6640625" style="169" customWidth="1"/>
    <col min="3333" max="3333" width="60" style="169" customWidth="1"/>
    <col min="3334" max="3334" width="164.33203125" style="169" customWidth="1"/>
    <col min="3335" max="3335" width="24.44140625" style="169" customWidth="1"/>
    <col min="3336" max="3336" width="10.6640625" style="169" bestFit="1" customWidth="1"/>
    <col min="3337" max="3585" width="9.33203125" style="169"/>
    <col min="3586" max="3586" width="21.6640625" style="169" customWidth="1"/>
    <col min="3587" max="3587" width="27.6640625" style="169" customWidth="1"/>
    <col min="3588" max="3588" width="33.6640625" style="169" customWidth="1"/>
    <col min="3589" max="3589" width="60" style="169" customWidth="1"/>
    <col min="3590" max="3590" width="164.33203125" style="169" customWidth="1"/>
    <col min="3591" max="3591" width="24.44140625" style="169" customWidth="1"/>
    <col min="3592" max="3592" width="10.6640625" style="169" bestFit="1" customWidth="1"/>
    <col min="3593" max="3841" width="9.33203125" style="169"/>
    <col min="3842" max="3842" width="21.6640625" style="169" customWidth="1"/>
    <col min="3843" max="3843" width="27.6640625" style="169" customWidth="1"/>
    <col min="3844" max="3844" width="33.6640625" style="169" customWidth="1"/>
    <col min="3845" max="3845" width="60" style="169" customWidth="1"/>
    <col min="3846" max="3846" width="164.33203125" style="169" customWidth="1"/>
    <col min="3847" max="3847" width="24.44140625" style="169" customWidth="1"/>
    <col min="3848" max="3848" width="10.6640625" style="169" bestFit="1" customWidth="1"/>
    <col min="3849" max="4097" width="9.33203125" style="169"/>
    <col min="4098" max="4098" width="21.6640625" style="169" customWidth="1"/>
    <col min="4099" max="4099" width="27.6640625" style="169" customWidth="1"/>
    <col min="4100" max="4100" width="33.6640625" style="169" customWidth="1"/>
    <col min="4101" max="4101" width="60" style="169" customWidth="1"/>
    <col min="4102" max="4102" width="164.33203125" style="169" customWidth="1"/>
    <col min="4103" max="4103" width="24.44140625" style="169" customWidth="1"/>
    <col min="4104" max="4104" width="10.6640625" style="169" bestFit="1" customWidth="1"/>
    <col min="4105" max="4353" width="9.33203125" style="169"/>
    <col min="4354" max="4354" width="21.6640625" style="169" customWidth="1"/>
    <col min="4355" max="4355" width="27.6640625" style="169" customWidth="1"/>
    <col min="4356" max="4356" width="33.6640625" style="169" customWidth="1"/>
    <col min="4357" max="4357" width="60" style="169" customWidth="1"/>
    <col min="4358" max="4358" width="164.33203125" style="169" customWidth="1"/>
    <col min="4359" max="4359" width="24.44140625" style="169" customWidth="1"/>
    <col min="4360" max="4360" width="10.6640625" style="169" bestFit="1" customWidth="1"/>
    <col min="4361" max="4609" width="9.33203125" style="169"/>
    <col min="4610" max="4610" width="21.6640625" style="169" customWidth="1"/>
    <col min="4611" max="4611" width="27.6640625" style="169" customWidth="1"/>
    <col min="4612" max="4612" width="33.6640625" style="169" customWidth="1"/>
    <col min="4613" max="4613" width="60" style="169" customWidth="1"/>
    <col min="4614" max="4614" width="164.33203125" style="169" customWidth="1"/>
    <col min="4615" max="4615" width="24.44140625" style="169" customWidth="1"/>
    <col min="4616" max="4616" width="10.6640625" style="169" bestFit="1" customWidth="1"/>
    <col min="4617" max="4865" width="9.33203125" style="169"/>
    <col min="4866" max="4866" width="21.6640625" style="169" customWidth="1"/>
    <col min="4867" max="4867" width="27.6640625" style="169" customWidth="1"/>
    <col min="4868" max="4868" width="33.6640625" style="169" customWidth="1"/>
    <col min="4869" max="4869" width="60" style="169" customWidth="1"/>
    <col min="4870" max="4870" width="164.33203125" style="169" customWidth="1"/>
    <col min="4871" max="4871" width="24.44140625" style="169" customWidth="1"/>
    <col min="4872" max="4872" width="10.6640625" style="169" bestFit="1" customWidth="1"/>
    <col min="4873" max="5121" width="9.33203125" style="169"/>
    <col min="5122" max="5122" width="21.6640625" style="169" customWidth="1"/>
    <col min="5123" max="5123" width="27.6640625" style="169" customWidth="1"/>
    <col min="5124" max="5124" width="33.6640625" style="169" customWidth="1"/>
    <col min="5125" max="5125" width="60" style="169" customWidth="1"/>
    <col min="5126" max="5126" width="164.33203125" style="169" customWidth="1"/>
    <col min="5127" max="5127" width="24.44140625" style="169" customWidth="1"/>
    <col min="5128" max="5128" width="10.6640625" style="169" bestFit="1" customWidth="1"/>
    <col min="5129" max="5377" width="9.33203125" style="169"/>
    <col min="5378" max="5378" width="21.6640625" style="169" customWidth="1"/>
    <col min="5379" max="5379" width="27.6640625" style="169" customWidth="1"/>
    <col min="5380" max="5380" width="33.6640625" style="169" customWidth="1"/>
    <col min="5381" max="5381" width="60" style="169" customWidth="1"/>
    <col min="5382" max="5382" width="164.33203125" style="169" customWidth="1"/>
    <col min="5383" max="5383" width="24.44140625" style="169" customWidth="1"/>
    <col min="5384" max="5384" width="10.6640625" style="169" bestFit="1" customWidth="1"/>
    <col min="5385" max="5633" width="9.33203125" style="169"/>
    <col min="5634" max="5634" width="21.6640625" style="169" customWidth="1"/>
    <col min="5635" max="5635" width="27.6640625" style="169" customWidth="1"/>
    <col min="5636" max="5636" width="33.6640625" style="169" customWidth="1"/>
    <col min="5637" max="5637" width="60" style="169" customWidth="1"/>
    <col min="5638" max="5638" width="164.33203125" style="169" customWidth="1"/>
    <col min="5639" max="5639" width="24.44140625" style="169" customWidth="1"/>
    <col min="5640" max="5640" width="10.6640625" style="169" bestFit="1" customWidth="1"/>
    <col min="5641" max="5889" width="9.33203125" style="169"/>
    <col min="5890" max="5890" width="21.6640625" style="169" customWidth="1"/>
    <col min="5891" max="5891" width="27.6640625" style="169" customWidth="1"/>
    <col min="5892" max="5892" width="33.6640625" style="169" customWidth="1"/>
    <col min="5893" max="5893" width="60" style="169" customWidth="1"/>
    <col min="5894" max="5894" width="164.33203125" style="169" customWidth="1"/>
    <col min="5895" max="5895" width="24.44140625" style="169" customWidth="1"/>
    <col min="5896" max="5896" width="10.6640625" style="169" bestFit="1" customWidth="1"/>
    <col min="5897" max="6145" width="9.33203125" style="169"/>
    <col min="6146" max="6146" width="21.6640625" style="169" customWidth="1"/>
    <col min="6147" max="6147" width="27.6640625" style="169" customWidth="1"/>
    <col min="6148" max="6148" width="33.6640625" style="169" customWidth="1"/>
    <col min="6149" max="6149" width="60" style="169" customWidth="1"/>
    <col min="6150" max="6150" width="164.33203125" style="169" customWidth="1"/>
    <col min="6151" max="6151" width="24.44140625" style="169" customWidth="1"/>
    <col min="6152" max="6152" width="10.6640625" style="169" bestFit="1" customWidth="1"/>
    <col min="6153" max="6401" width="9.33203125" style="169"/>
    <col min="6402" max="6402" width="21.6640625" style="169" customWidth="1"/>
    <col min="6403" max="6403" width="27.6640625" style="169" customWidth="1"/>
    <col min="6404" max="6404" width="33.6640625" style="169" customWidth="1"/>
    <col min="6405" max="6405" width="60" style="169" customWidth="1"/>
    <col min="6406" max="6406" width="164.33203125" style="169" customWidth="1"/>
    <col min="6407" max="6407" width="24.44140625" style="169" customWidth="1"/>
    <col min="6408" max="6408" width="10.6640625" style="169" bestFit="1" customWidth="1"/>
    <col min="6409" max="6657" width="9.33203125" style="169"/>
    <col min="6658" max="6658" width="21.6640625" style="169" customWidth="1"/>
    <col min="6659" max="6659" width="27.6640625" style="169" customWidth="1"/>
    <col min="6660" max="6660" width="33.6640625" style="169" customWidth="1"/>
    <col min="6661" max="6661" width="60" style="169" customWidth="1"/>
    <col min="6662" max="6662" width="164.33203125" style="169" customWidth="1"/>
    <col min="6663" max="6663" width="24.44140625" style="169" customWidth="1"/>
    <col min="6664" max="6664" width="10.6640625" style="169" bestFit="1" customWidth="1"/>
    <col min="6665" max="6913" width="9.33203125" style="169"/>
    <col min="6914" max="6914" width="21.6640625" style="169" customWidth="1"/>
    <col min="6915" max="6915" width="27.6640625" style="169" customWidth="1"/>
    <col min="6916" max="6916" width="33.6640625" style="169" customWidth="1"/>
    <col min="6917" max="6917" width="60" style="169" customWidth="1"/>
    <col min="6918" max="6918" width="164.33203125" style="169" customWidth="1"/>
    <col min="6919" max="6919" width="24.44140625" style="169" customWidth="1"/>
    <col min="6920" max="6920" width="10.6640625" style="169" bestFit="1" customWidth="1"/>
    <col min="6921" max="7169" width="9.33203125" style="169"/>
    <col min="7170" max="7170" width="21.6640625" style="169" customWidth="1"/>
    <col min="7171" max="7171" width="27.6640625" style="169" customWidth="1"/>
    <col min="7172" max="7172" width="33.6640625" style="169" customWidth="1"/>
    <col min="7173" max="7173" width="60" style="169" customWidth="1"/>
    <col min="7174" max="7174" width="164.33203125" style="169" customWidth="1"/>
    <col min="7175" max="7175" width="24.44140625" style="169" customWidth="1"/>
    <col min="7176" max="7176" width="10.6640625" style="169" bestFit="1" customWidth="1"/>
    <col min="7177" max="7425" width="9.33203125" style="169"/>
    <col min="7426" max="7426" width="21.6640625" style="169" customWidth="1"/>
    <col min="7427" max="7427" width="27.6640625" style="169" customWidth="1"/>
    <col min="7428" max="7428" width="33.6640625" style="169" customWidth="1"/>
    <col min="7429" max="7429" width="60" style="169" customWidth="1"/>
    <col min="7430" max="7430" width="164.33203125" style="169" customWidth="1"/>
    <col min="7431" max="7431" width="24.44140625" style="169" customWidth="1"/>
    <col min="7432" max="7432" width="10.6640625" style="169" bestFit="1" customWidth="1"/>
    <col min="7433" max="7681" width="9.33203125" style="169"/>
    <col min="7682" max="7682" width="21.6640625" style="169" customWidth="1"/>
    <col min="7683" max="7683" width="27.6640625" style="169" customWidth="1"/>
    <col min="7684" max="7684" width="33.6640625" style="169" customWidth="1"/>
    <col min="7685" max="7685" width="60" style="169" customWidth="1"/>
    <col min="7686" max="7686" width="164.33203125" style="169" customWidth="1"/>
    <col min="7687" max="7687" width="24.44140625" style="169" customWidth="1"/>
    <col min="7688" max="7688" width="10.6640625" style="169" bestFit="1" customWidth="1"/>
    <col min="7689" max="7937" width="9.33203125" style="169"/>
    <col min="7938" max="7938" width="21.6640625" style="169" customWidth="1"/>
    <col min="7939" max="7939" width="27.6640625" style="169" customWidth="1"/>
    <col min="7940" max="7940" width="33.6640625" style="169" customWidth="1"/>
    <col min="7941" max="7941" width="60" style="169" customWidth="1"/>
    <col min="7942" max="7942" width="164.33203125" style="169" customWidth="1"/>
    <col min="7943" max="7943" width="24.44140625" style="169" customWidth="1"/>
    <col min="7944" max="7944" width="10.6640625" style="169" bestFit="1" customWidth="1"/>
    <col min="7945" max="8193" width="9.33203125" style="169"/>
    <col min="8194" max="8194" width="21.6640625" style="169" customWidth="1"/>
    <col min="8195" max="8195" width="27.6640625" style="169" customWidth="1"/>
    <col min="8196" max="8196" width="33.6640625" style="169" customWidth="1"/>
    <col min="8197" max="8197" width="60" style="169" customWidth="1"/>
    <col min="8198" max="8198" width="164.33203125" style="169" customWidth="1"/>
    <col min="8199" max="8199" width="24.44140625" style="169" customWidth="1"/>
    <col min="8200" max="8200" width="10.6640625" style="169" bestFit="1" customWidth="1"/>
    <col min="8201" max="8449" width="9.33203125" style="169"/>
    <col min="8450" max="8450" width="21.6640625" style="169" customWidth="1"/>
    <col min="8451" max="8451" width="27.6640625" style="169" customWidth="1"/>
    <col min="8452" max="8452" width="33.6640625" style="169" customWidth="1"/>
    <col min="8453" max="8453" width="60" style="169" customWidth="1"/>
    <col min="8454" max="8454" width="164.33203125" style="169" customWidth="1"/>
    <col min="8455" max="8455" width="24.44140625" style="169" customWidth="1"/>
    <col min="8456" max="8456" width="10.6640625" style="169" bestFit="1" customWidth="1"/>
    <col min="8457" max="8705" width="9.33203125" style="169"/>
    <col min="8706" max="8706" width="21.6640625" style="169" customWidth="1"/>
    <col min="8707" max="8707" width="27.6640625" style="169" customWidth="1"/>
    <col min="8708" max="8708" width="33.6640625" style="169" customWidth="1"/>
    <col min="8709" max="8709" width="60" style="169" customWidth="1"/>
    <col min="8710" max="8710" width="164.33203125" style="169" customWidth="1"/>
    <col min="8711" max="8711" width="24.44140625" style="169" customWidth="1"/>
    <col min="8712" max="8712" width="10.6640625" style="169" bestFit="1" customWidth="1"/>
    <col min="8713" max="8961" width="9.33203125" style="169"/>
    <col min="8962" max="8962" width="21.6640625" style="169" customWidth="1"/>
    <col min="8963" max="8963" width="27.6640625" style="169" customWidth="1"/>
    <col min="8964" max="8964" width="33.6640625" style="169" customWidth="1"/>
    <col min="8965" max="8965" width="60" style="169" customWidth="1"/>
    <col min="8966" max="8966" width="164.33203125" style="169" customWidth="1"/>
    <col min="8967" max="8967" width="24.44140625" style="169" customWidth="1"/>
    <col min="8968" max="8968" width="10.6640625" style="169" bestFit="1" customWidth="1"/>
    <col min="8969" max="9217" width="9.33203125" style="169"/>
    <col min="9218" max="9218" width="21.6640625" style="169" customWidth="1"/>
    <col min="9219" max="9219" width="27.6640625" style="169" customWidth="1"/>
    <col min="9220" max="9220" width="33.6640625" style="169" customWidth="1"/>
    <col min="9221" max="9221" width="60" style="169" customWidth="1"/>
    <col min="9222" max="9222" width="164.33203125" style="169" customWidth="1"/>
    <col min="9223" max="9223" width="24.44140625" style="169" customWidth="1"/>
    <col min="9224" max="9224" width="10.6640625" style="169" bestFit="1" customWidth="1"/>
    <col min="9225" max="9473" width="9.33203125" style="169"/>
    <col min="9474" max="9474" width="21.6640625" style="169" customWidth="1"/>
    <col min="9475" max="9475" width="27.6640625" style="169" customWidth="1"/>
    <col min="9476" max="9476" width="33.6640625" style="169" customWidth="1"/>
    <col min="9477" max="9477" width="60" style="169" customWidth="1"/>
    <col min="9478" max="9478" width="164.33203125" style="169" customWidth="1"/>
    <col min="9479" max="9479" width="24.44140625" style="169" customWidth="1"/>
    <col min="9480" max="9480" width="10.6640625" style="169" bestFit="1" customWidth="1"/>
    <col min="9481" max="9729" width="9.33203125" style="169"/>
    <col min="9730" max="9730" width="21.6640625" style="169" customWidth="1"/>
    <col min="9731" max="9731" width="27.6640625" style="169" customWidth="1"/>
    <col min="9732" max="9732" width="33.6640625" style="169" customWidth="1"/>
    <col min="9733" max="9733" width="60" style="169" customWidth="1"/>
    <col min="9734" max="9734" width="164.33203125" style="169" customWidth="1"/>
    <col min="9735" max="9735" width="24.44140625" style="169" customWidth="1"/>
    <col min="9736" max="9736" width="10.6640625" style="169" bestFit="1" customWidth="1"/>
    <col min="9737" max="9985" width="9.33203125" style="169"/>
    <col min="9986" max="9986" width="21.6640625" style="169" customWidth="1"/>
    <col min="9987" max="9987" width="27.6640625" style="169" customWidth="1"/>
    <col min="9988" max="9988" width="33.6640625" style="169" customWidth="1"/>
    <col min="9989" max="9989" width="60" style="169" customWidth="1"/>
    <col min="9990" max="9990" width="164.33203125" style="169" customWidth="1"/>
    <col min="9991" max="9991" width="24.44140625" style="169" customWidth="1"/>
    <col min="9992" max="9992" width="10.6640625" style="169" bestFit="1" customWidth="1"/>
    <col min="9993" max="10241" width="9.33203125" style="169"/>
    <col min="10242" max="10242" width="21.6640625" style="169" customWidth="1"/>
    <col min="10243" max="10243" width="27.6640625" style="169" customWidth="1"/>
    <col min="10244" max="10244" width="33.6640625" style="169" customWidth="1"/>
    <col min="10245" max="10245" width="60" style="169" customWidth="1"/>
    <col min="10246" max="10246" width="164.33203125" style="169" customWidth="1"/>
    <col min="10247" max="10247" width="24.44140625" style="169" customWidth="1"/>
    <col min="10248" max="10248" width="10.6640625" style="169" bestFit="1" customWidth="1"/>
    <col min="10249" max="10497" width="9.33203125" style="169"/>
    <col min="10498" max="10498" width="21.6640625" style="169" customWidth="1"/>
    <col min="10499" max="10499" width="27.6640625" style="169" customWidth="1"/>
    <col min="10500" max="10500" width="33.6640625" style="169" customWidth="1"/>
    <col min="10501" max="10501" width="60" style="169" customWidth="1"/>
    <col min="10502" max="10502" width="164.33203125" style="169" customWidth="1"/>
    <col min="10503" max="10503" width="24.44140625" style="169" customWidth="1"/>
    <col min="10504" max="10504" width="10.6640625" style="169" bestFit="1" customWidth="1"/>
    <col min="10505" max="10753" width="9.33203125" style="169"/>
    <col min="10754" max="10754" width="21.6640625" style="169" customWidth="1"/>
    <col min="10755" max="10755" width="27.6640625" style="169" customWidth="1"/>
    <col min="10756" max="10756" width="33.6640625" style="169" customWidth="1"/>
    <col min="10757" max="10757" width="60" style="169" customWidth="1"/>
    <col min="10758" max="10758" width="164.33203125" style="169" customWidth="1"/>
    <col min="10759" max="10759" width="24.44140625" style="169" customWidth="1"/>
    <col min="10760" max="10760" width="10.6640625" style="169" bestFit="1" customWidth="1"/>
    <col min="10761" max="11009" width="9.33203125" style="169"/>
    <col min="11010" max="11010" width="21.6640625" style="169" customWidth="1"/>
    <col min="11011" max="11011" width="27.6640625" style="169" customWidth="1"/>
    <col min="11012" max="11012" width="33.6640625" style="169" customWidth="1"/>
    <col min="11013" max="11013" width="60" style="169" customWidth="1"/>
    <col min="11014" max="11014" width="164.33203125" style="169" customWidth="1"/>
    <col min="11015" max="11015" width="24.44140625" style="169" customWidth="1"/>
    <col min="11016" max="11016" width="10.6640625" style="169" bestFit="1" customWidth="1"/>
    <col min="11017" max="11265" width="9.33203125" style="169"/>
    <col min="11266" max="11266" width="21.6640625" style="169" customWidth="1"/>
    <col min="11267" max="11267" width="27.6640625" style="169" customWidth="1"/>
    <col min="11268" max="11268" width="33.6640625" style="169" customWidth="1"/>
    <col min="11269" max="11269" width="60" style="169" customWidth="1"/>
    <col min="11270" max="11270" width="164.33203125" style="169" customWidth="1"/>
    <col min="11271" max="11271" width="24.44140625" style="169" customWidth="1"/>
    <col min="11272" max="11272" width="10.6640625" style="169" bestFit="1" customWidth="1"/>
    <col min="11273" max="11521" width="9.33203125" style="169"/>
    <col min="11522" max="11522" width="21.6640625" style="169" customWidth="1"/>
    <col min="11523" max="11523" width="27.6640625" style="169" customWidth="1"/>
    <col min="11524" max="11524" width="33.6640625" style="169" customWidth="1"/>
    <col min="11525" max="11525" width="60" style="169" customWidth="1"/>
    <col min="11526" max="11526" width="164.33203125" style="169" customWidth="1"/>
    <col min="11527" max="11527" width="24.44140625" style="169" customWidth="1"/>
    <col min="11528" max="11528" width="10.6640625" style="169" bestFit="1" customWidth="1"/>
    <col min="11529" max="11777" width="9.33203125" style="169"/>
    <col min="11778" max="11778" width="21.6640625" style="169" customWidth="1"/>
    <col min="11779" max="11779" width="27.6640625" style="169" customWidth="1"/>
    <col min="11780" max="11780" width="33.6640625" style="169" customWidth="1"/>
    <col min="11781" max="11781" width="60" style="169" customWidth="1"/>
    <col min="11782" max="11782" width="164.33203125" style="169" customWidth="1"/>
    <col min="11783" max="11783" width="24.44140625" style="169" customWidth="1"/>
    <col min="11784" max="11784" width="10.6640625" style="169" bestFit="1" customWidth="1"/>
    <col min="11785" max="12033" width="9.33203125" style="169"/>
    <col min="12034" max="12034" width="21.6640625" style="169" customWidth="1"/>
    <col min="12035" max="12035" width="27.6640625" style="169" customWidth="1"/>
    <col min="12036" max="12036" width="33.6640625" style="169" customWidth="1"/>
    <col min="12037" max="12037" width="60" style="169" customWidth="1"/>
    <col min="12038" max="12038" width="164.33203125" style="169" customWidth="1"/>
    <col min="12039" max="12039" width="24.44140625" style="169" customWidth="1"/>
    <col min="12040" max="12040" width="10.6640625" style="169" bestFit="1" customWidth="1"/>
    <col min="12041" max="12289" width="9.33203125" style="169"/>
    <col min="12290" max="12290" width="21.6640625" style="169" customWidth="1"/>
    <col min="12291" max="12291" width="27.6640625" style="169" customWidth="1"/>
    <col min="12292" max="12292" width="33.6640625" style="169" customWidth="1"/>
    <col min="12293" max="12293" width="60" style="169" customWidth="1"/>
    <col min="12294" max="12294" width="164.33203125" style="169" customWidth="1"/>
    <col min="12295" max="12295" width="24.44140625" style="169" customWidth="1"/>
    <col min="12296" max="12296" width="10.6640625" style="169" bestFit="1" customWidth="1"/>
    <col min="12297" max="12545" width="9.33203125" style="169"/>
    <col min="12546" max="12546" width="21.6640625" style="169" customWidth="1"/>
    <col min="12547" max="12547" width="27.6640625" style="169" customWidth="1"/>
    <col min="12548" max="12548" width="33.6640625" style="169" customWidth="1"/>
    <col min="12549" max="12549" width="60" style="169" customWidth="1"/>
    <col min="12550" max="12550" width="164.33203125" style="169" customWidth="1"/>
    <col min="12551" max="12551" width="24.44140625" style="169" customWidth="1"/>
    <col min="12552" max="12552" width="10.6640625" style="169" bestFit="1" customWidth="1"/>
    <col min="12553" max="12801" width="9.33203125" style="169"/>
    <col min="12802" max="12802" width="21.6640625" style="169" customWidth="1"/>
    <col min="12803" max="12803" width="27.6640625" style="169" customWidth="1"/>
    <col min="12804" max="12804" width="33.6640625" style="169" customWidth="1"/>
    <col min="12805" max="12805" width="60" style="169" customWidth="1"/>
    <col min="12806" max="12806" width="164.33203125" style="169" customWidth="1"/>
    <col min="12807" max="12807" width="24.44140625" style="169" customWidth="1"/>
    <col min="12808" max="12808" width="10.6640625" style="169" bestFit="1" customWidth="1"/>
    <col min="12809" max="13057" width="9.33203125" style="169"/>
    <col min="13058" max="13058" width="21.6640625" style="169" customWidth="1"/>
    <col min="13059" max="13059" width="27.6640625" style="169" customWidth="1"/>
    <col min="13060" max="13060" width="33.6640625" style="169" customWidth="1"/>
    <col min="13061" max="13061" width="60" style="169" customWidth="1"/>
    <col min="13062" max="13062" width="164.33203125" style="169" customWidth="1"/>
    <col min="13063" max="13063" width="24.44140625" style="169" customWidth="1"/>
    <col min="13064" max="13064" width="10.6640625" style="169" bestFit="1" customWidth="1"/>
    <col min="13065" max="13313" width="9.33203125" style="169"/>
    <col min="13314" max="13314" width="21.6640625" style="169" customWidth="1"/>
    <col min="13315" max="13315" width="27.6640625" style="169" customWidth="1"/>
    <col min="13316" max="13316" width="33.6640625" style="169" customWidth="1"/>
    <col min="13317" max="13317" width="60" style="169" customWidth="1"/>
    <col min="13318" max="13318" width="164.33203125" style="169" customWidth="1"/>
    <col min="13319" max="13319" width="24.44140625" style="169" customWidth="1"/>
    <col min="13320" max="13320" width="10.6640625" style="169" bestFit="1" customWidth="1"/>
    <col min="13321" max="13569" width="9.33203125" style="169"/>
    <col min="13570" max="13570" width="21.6640625" style="169" customWidth="1"/>
    <col min="13571" max="13571" width="27.6640625" style="169" customWidth="1"/>
    <col min="13572" max="13572" width="33.6640625" style="169" customWidth="1"/>
    <col min="13573" max="13573" width="60" style="169" customWidth="1"/>
    <col min="13574" max="13574" width="164.33203125" style="169" customWidth="1"/>
    <col min="13575" max="13575" width="24.44140625" style="169" customWidth="1"/>
    <col min="13576" max="13576" width="10.6640625" style="169" bestFit="1" customWidth="1"/>
    <col min="13577" max="13825" width="9.33203125" style="169"/>
    <col min="13826" max="13826" width="21.6640625" style="169" customWidth="1"/>
    <col min="13827" max="13827" width="27.6640625" style="169" customWidth="1"/>
    <col min="13828" max="13828" width="33.6640625" style="169" customWidth="1"/>
    <col min="13829" max="13829" width="60" style="169" customWidth="1"/>
    <col min="13830" max="13830" width="164.33203125" style="169" customWidth="1"/>
    <col min="13831" max="13831" width="24.44140625" style="169" customWidth="1"/>
    <col min="13832" max="13832" width="10.6640625" style="169" bestFit="1" customWidth="1"/>
    <col min="13833" max="14081" width="9.33203125" style="169"/>
    <col min="14082" max="14082" width="21.6640625" style="169" customWidth="1"/>
    <col min="14083" max="14083" width="27.6640625" style="169" customWidth="1"/>
    <col min="14084" max="14084" width="33.6640625" style="169" customWidth="1"/>
    <col min="14085" max="14085" width="60" style="169" customWidth="1"/>
    <col min="14086" max="14086" width="164.33203125" style="169" customWidth="1"/>
    <col min="14087" max="14087" width="24.44140625" style="169" customWidth="1"/>
    <col min="14088" max="14088" width="10.6640625" style="169" bestFit="1" customWidth="1"/>
    <col min="14089" max="14337" width="9.33203125" style="169"/>
    <col min="14338" max="14338" width="21.6640625" style="169" customWidth="1"/>
    <col min="14339" max="14339" width="27.6640625" style="169" customWidth="1"/>
    <col min="14340" max="14340" width="33.6640625" style="169" customWidth="1"/>
    <col min="14341" max="14341" width="60" style="169" customWidth="1"/>
    <col min="14342" max="14342" width="164.33203125" style="169" customWidth="1"/>
    <col min="14343" max="14343" width="24.44140625" style="169" customWidth="1"/>
    <col min="14344" max="14344" width="10.6640625" style="169" bestFit="1" customWidth="1"/>
    <col min="14345" max="14593" width="9.33203125" style="169"/>
    <col min="14594" max="14594" width="21.6640625" style="169" customWidth="1"/>
    <col min="14595" max="14595" width="27.6640625" style="169" customWidth="1"/>
    <col min="14596" max="14596" width="33.6640625" style="169" customWidth="1"/>
    <col min="14597" max="14597" width="60" style="169" customWidth="1"/>
    <col min="14598" max="14598" width="164.33203125" style="169" customWidth="1"/>
    <col min="14599" max="14599" width="24.44140625" style="169" customWidth="1"/>
    <col min="14600" max="14600" width="10.6640625" style="169" bestFit="1" customWidth="1"/>
    <col min="14601" max="14849" width="9.33203125" style="169"/>
    <col min="14850" max="14850" width="21.6640625" style="169" customWidth="1"/>
    <col min="14851" max="14851" width="27.6640625" style="169" customWidth="1"/>
    <col min="14852" max="14852" width="33.6640625" style="169" customWidth="1"/>
    <col min="14853" max="14853" width="60" style="169" customWidth="1"/>
    <col min="14854" max="14854" width="164.33203125" style="169" customWidth="1"/>
    <col min="14855" max="14855" width="24.44140625" style="169" customWidth="1"/>
    <col min="14856" max="14856" width="10.6640625" style="169" bestFit="1" customWidth="1"/>
    <col min="14857" max="15105" width="9.33203125" style="169"/>
    <col min="15106" max="15106" width="21.6640625" style="169" customWidth="1"/>
    <col min="15107" max="15107" width="27.6640625" style="169" customWidth="1"/>
    <col min="15108" max="15108" width="33.6640625" style="169" customWidth="1"/>
    <col min="15109" max="15109" width="60" style="169" customWidth="1"/>
    <col min="15110" max="15110" width="164.33203125" style="169" customWidth="1"/>
    <col min="15111" max="15111" width="24.44140625" style="169" customWidth="1"/>
    <col min="15112" max="15112" width="10.6640625" style="169" bestFit="1" customWidth="1"/>
    <col min="15113" max="15361" width="9.33203125" style="169"/>
    <col min="15362" max="15362" width="21.6640625" style="169" customWidth="1"/>
    <col min="15363" max="15363" width="27.6640625" style="169" customWidth="1"/>
    <col min="15364" max="15364" width="33.6640625" style="169" customWidth="1"/>
    <col min="15365" max="15365" width="60" style="169" customWidth="1"/>
    <col min="15366" max="15366" width="164.33203125" style="169" customWidth="1"/>
    <col min="15367" max="15367" width="24.44140625" style="169" customWidth="1"/>
    <col min="15368" max="15368" width="10.6640625" style="169" bestFit="1" customWidth="1"/>
    <col min="15369" max="15617" width="9.33203125" style="169"/>
    <col min="15618" max="15618" width="21.6640625" style="169" customWidth="1"/>
    <col min="15619" max="15619" width="27.6640625" style="169" customWidth="1"/>
    <col min="15620" max="15620" width="33.6640625" style="169" customWidth="1"/>
    <col min="15621" max="15621" width="60" style="169" customWidth="1"/>
    <col min="15622" max="15622" width="164.33203125" style="169" customWidth="1"/>
    <col min="15623" max="15623" width="24.44140625" style="169" customWidth="1"/>
    <col min="15624" max="15624" width="10.6640625" style="169" bestFit="1" customWidth="1"/>
    <col min="15625" max="15873" width="9.33203125" style="169"/>
    <col min="15874" max="15874" width="21.6640625" style="169" customWidth="1"/>
    <col min="15875" max="15875" width="27.6640625" style="169" customWidth="1"/>
    <col min="15876" max="15876" width="33.6640625" style="169" customWidth="1"/>
    <col min="15877" max="15877" width="60" style="169" customWidth="1"/>
    <col min="15878" max="15878" width="164.33203125" style="169" customWidth="1"/>
    <col min="15879" max="15879" width="24.44140625" style="169" customWidth="1"/>
    <col min="15880" max="15880" width="10.6640625" style="169" bestFit="1" customWidth="1"/>
    <col min="15881" max="16129" width="9.33203125" style="169"/>
    <col min="16130" max="16130" width="21.6640625" style="169" customWidth="1"/>
    <col min="16131" max="16131" width="27.6640625" style="169" customWidth="1"/>
    <col min="16132" max="16132" width="33.6640625" style="169" customWidth="1"/>
    <col min="16133" max="16133" width="60" style="169" customWidth="1"/>
    <col min="16134" max="16134" width="164.33203125" style="169" customWidth="1"/>
    <col min="16135" max="16135" width="24.44140625" style="169" customWidth="1"/>
    <col min="16136" max="16136" width="10.6640625" style="169" bestFit="1" customWidth="1"/>
    <col min="16137" max="16384" width="9.33203125" style="169"/>
  </cols>
  <sheetData>
    <row r="1" spans="2:12" x14ac:dyDescent="0.25">
      <c r="C1" s="170"/>
      <c r="D1" s="170"/>
    </row>
    <row r="2" spans="2:12" x14ac:dyDescent="0.25">
      <c r="C2" s="171"/>
      <c r="D2" s="171"/>
      <c r="E2" s="299" t="s">
        <v>132</v>
      </c>
      <c r="F2" s="171"/>
      <c r="G2" s="171"/>
      <c r="H2" s="171"/>
      <c r="I2" s="171"/>
    </row>
    <row r="3" spans="2:12" x14ac:dyDescent="0.25">
      <c r="C3" s="173"/>
      <c r="D3" s="173"/>
      <c r="E3" s="303" t="s">
        <v>592</v>
      </c>
      <c r="F3" s="173"/>
      <c r="G3" s="173"/>
      <c r="H3" s="173"/>
      <c r="I3" s="173"/>
    </row>
    <row r="4" spans="2:12" x14ac:dyDescent="0.25">
      <c r="C4" s="173"/>
      <c r="D4" s="173"/>
      <c r="E4" s="303" t="s">
        <v>593</v>
      </c>
      <c r="F4" s="173"/>
      <c r="G4" s="173"/>
      <c r="H4" s="173"/>
      <c r="I4" s="173"/>
    </row>
    <row r="5" spans="2:12" x14ac:dyDescent="0.25">
      <c r="B5" s="174"/>
      <c r="C5" s="174"/>
      <c r="D5" s="174"/>
    </row>
    <row r="6" spans="2:12" s="177" customFormat="1" ht="41.4" x14ac:dyDescent="0.25">
      <c r="B6" s="175" t="s">
        <v>74</v>
      </c>
      <c r="C6" s="176" t="s">
        <v>594</v>
      </c>
      <c r="D6" s="176" t="s">
        <v>595</v>
      </c>
      <c r="E6" s="176" t="s">
        <v>332</v>
      </c>
      <c r="F6" s="176" t="s">
        <v>596</v>
      </c>
    </row>
    <row r="7" spans="2:12" s="177" customFormat="1" x14ac:dyDescent="0.25">
      <c r="B7" s="178"/>
      <c r="C7" s="178"/>
      <c r="D7" s="178"/>
      <c r="E7" s="178"/>
      <c r="F7" s="178"/>
    </row>
    <row r="8" spans="2:12" s="177" customFormat="1" x14ac:dyDescent="0.25">
      <c r="B8" s="178"/>
      <c r="C8" s="178"/>
      <c r="D8" s="178"/>
      <c r="E8" s="178"/>
      <c r="F8" s="178"/>
    </row>
    <row r="9" spans="2:12" s="177" customFormat="1" x14ac:dyDescent="0.25">
      <c r="B9" s="178"/>
      <c r="C9" s="178"/>
      <c r="D9" s="178"/>
      <c r="E9" s="178"/>
      <c r="F9" s="178"/>
    </row>
    <row r="10" spans="2:12" s="177" customFormat="1" x14ac:dyDescent="0.25">
      <c r="B10" s="178"/>
      <c r="C10" s="179"/>
      <c r="D10" s="179"/>
      <c r="E10" s="178"/>
      <c r="F10" s="178"/>
    </row>
    <row r="11" spans="2:12" s="177" customFormat="1" x14ac:dyDescent="0.25">
      <c r="B11" s="178"/>
      <c r="C11" s="179"/>
      <c r="D11" s="179"/>
      <c r="E11" s="178"/>
      <c r="F11" s="178"/>
    </row>
    <row r="12" spans="2:12" s="177" customFormat="1" x14ac:dyDescent="0.25">
      <c r="B12" s="178"/>
      <c r="C12" s="179"/>
      <c r="D12" s="179"/>
      <c r="E12" s="178"/>
      <c r="F12" s="178"/>
    </row>
    <row r="13" spans="2:12" s="177" customFormat="1" x14ac:dyDescent="0.25">
      <c r="B13" s="180"/>
      <c r="C13" s="181"/>
      <c r="D13" s="182"/>
      <c r="E13" s="180"/>
      <c r="F13" s="181"/>
      <c r="G13" s="183"/>
      <c r="H13" s="184"/>
      <c r="I13" s="182"/>
      <c r="J13" s="185"/>
      <c r="L13" s="186"/>
    </row>
    <row r="14" spans="2:12" x14ac:dyDescent="0.25">
      <c r="B14" s="169" t="s">
        <v>597</v>
      </c>
    </row>
    <row r="15" spans="2:12" x14ac:dyDescent="0.25">
      <c r="B15" s="169" t="s">
        <v>598</v>
      </c>
    </row>
  </sheetData>
  <printOptions horizontalCentered="1" verticalCentered="1"/>
  <pageMargins left="1.1023622047244099" right="0.59055118110236204" top="0.78740157480314998" bottom="0.27559055118110198" header="0.511811023622047" footer="0.15748031496063"/>
  <pageSetup paperSize="9" scale="95"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2:D21"/>
  <sheetViews>
    <sheetView showGridLines="0" view="pageBreakPreview" zoomScale="117" zoomScaleNormal="75" zoomScaleSheetLayoutView="70" workbookViewId="0">
      <selection activeCell="L5" sqref="L5"/>
    </sheetView>
  </sheetViews>
  <sheetFormatPr defaultColWidth="9.33203125" defaultRowHeight="13.8" x14ac:dyDescent="0.25"/>
  <cols>
    <col min="1" max="1" width="9.33203125" style="187"/>
    <col min="2" max="2" width="62.33203125" style="187" customWidth="1"/>
    <col min="3" max="3" width="24.5546875" style="187" customWidth="1"/>
    <col min="4" max="4" width="26.6640625" style="187" customWidth="1"/>
    <col min="5" max="255" width="9.33203125" style="187"/>
    <col min="256" max="256" width="110.33203125" style="187" customWidth="1"/>
    <col min="257" max="257" width="43.5546875" style="187" customWidth="1"/>
    <col min="258" max="258" width="35.5546875" style="187" customWidth="1"/>
    <col min="259" max="259" width="36" style="187" customWidth="1"/>
    <col min="260" max="260" width="34.6640625" style="187" customWidth="1"/>
    <col min="261" max="511" width="9.33203125" style="187"/>
    <col min="512" max="512" width="110.33203125" style="187" customWidth="1"/>
    <col min="513" max="513" width="43.5546875" style="187" customWidth="1"/>
    <col min="514" max="514" width="35.5546875" style="187" customWidth="1"/>
    <col min="515" max="515" width="36" style="187" customWidth="1"/>
    <col min="516" max="516" width="34.6640625" style="187" customWidth="1"/>
    <col min="517" max="767" width="9.33203125" style="187"/>
    <col min="768" max="768" width="110.33203125" style="187" customWidth="1"/>
    <col min="769" max="769" width="43.5546875" style="187" customWidth="1"/>
    <col min="770" max="770" width="35.5546875" style="187" customWidth="1"/>
    <col min="771" max="771" width="36" style="187" customWidth="1"/>
    <col min="772" max="772" width="34.6640625" style="187" customWidth="1"/>
    <col min="773" max="1023" width="9.33203125" style="187"/>
    <col min="1024" max="1024" width="110.33203125" style="187" customWidth="1"/>
    <col min="1025" max="1025" width="43.5546875" style="187" customWidth="1"/>
    <col min="1026" max="1026" width="35.5546875" style="187" customWidth="1"/>
    <col min="1027" max="1027" width="36" style="187" customWidth="1"/>
    <col min="1028" max="1028" width="34.6640625" style="187" customWidth="1"/>
    <col min="1029" max="1279" width="9.33203125" style="187"/>
    <col min="1280" max="1280" width="110.33203125" style="187" customWidth="1"/>
    <col min="1281" max="1281" width="43.5546875" style="187" customWidth="1"/>
    <col min="1282" max="1282" width="35.5546875" style="187" customWidth="1"/>
    <col min="1283" max="1283" width="36" style="187" customWidth="1"/>
    <col min="1284" max="1284" width="34.6640625" style="187" customWidth="1"/>
    <col min="1285" max="1535" width="9.33203125" style="187"/>
    <col min="1536" max="1536" width="110.33203125" style="187" customWidth="1"/>
    <col min="1537" max="1537" width="43.5546875" style="187" customWidth="1"/>
    <col min="1538" max="1538" width="35.5546875" style="187" customWidth="1"/>
    <col min="1539" max="1539" width="36" style="187" customWidth="1"/>
    <col min="1540" max="1540" width="34.6640625" style="187" customWidth="1"/>
    <col min="1541" max="1791" width="9.33203125" style="187"/>
    <col min="1792" max="1792" width="110.33203125" style="187" customWidth="1"/>
    <col min="1793" max="1793" width="43.5546875" style="187" customWidth="1"/>
    <col min="1794" max="1794" width="35.5546875" style="187" customWidth="1"/>
    <col min="1795" max="1795" width="36" style="187" customWidth="1"/>
    <col min="1796" max="1796" width="34.6640625" style="187" customWidth="1"/>
    <col min="1797" max="2047" width="9.33203125" style="187"/>
    <col min="2048" max="2048" width="110.33203125" style="187" customWidth="1"/>
    <col min="2049" max="2049" width="43.5546875" style="187" customWidth="1"/>
    <col min="2050" max="2050" width="35.5546875" style="187" customWidth="1"/>
    <col min="2051" max="2051" width="36" style="187" customWidth="1"/>
    <col min="2052" max="2052" width="34.6640625" style="187" customWidth="1"/>
    <col min="2053" max="2303" width="9.33203125" style="187"/>
    <col min="2304" max="2304" width="110.33203125" style="187" customWidth="1"/>
    <col min="2305" max="2305" width="43.5546875" style="187" customWidth="1"/>
    <col min="2306" max="2306" width="35.5546875" style="187" customWidth="1"/>
    <col min="2307" max="2307" width="36" style="187" customWidth="1"/>
    <col min="2308" max="2308" width="34.6640625" style="187" customWidth="1"/>
    <col min="2309" max="2559" width="9.33203125" style="187"/>
    <col min="2560" max="2560" width="110.33203125" style="187" customWidth="1"/>
    <col min="2561" max="2561" width="43.5546875" style="187" customWidth="1"/>
    <col min="2562" max="2562" width="35.5546875" style="187" customWidth="1"/>
    <col min="2563" max="2563" width="36" style="187" customWidth="1"/>
    <col min="2564" max="2564" width="34.6640625" style="187" customWidth="1"/>
    <col min="2565" max="2815" width="9.33203125" style="187"/>
    <col min="2816" max="2816" width="110.33203125" style="187" customWidth="1"/>
    <col min="2817" max="2817" width="43.5546875" style="187" customWidth="1"/>
    <col min="2818" max="2818" width="35.5546875" style="187" customWidth="1"/>
    <col min="2819" max="2819" width="36" style="187" customWidth="1"/>
    <col min="2820" max="2820" width="34.6640625" style="187" customWidth="1"/>
    <col min="2821" max="3071" width="9.33203125" style="187"/>
    <col min="3072" max="3072" width="110.33203125" style="187" customWidth="1"/>
    <col min="3073" max="3073" width="43.5546875" style="187" customWidth="1"/>
    <col min="3074" max="3074" width="35.5546875" style="187" customWidth="1"/>
    <col min="3075" max="3075" width="36" style="187" customWidth="1"/>
    <col min="3076" max="3076" width="34.6640625" style="187" customWidth="1"/>
    <col min="3077" max="3327" width="9.33203125" style="187"/>
    <col min="3328" max="3328" width="110.33203125" style="187" customWidth="1"/>
    <col min="3329" max="3329" width="43.5546875" style="187" customWidth="1"/>
    <col min="3330" max="3330" width="35.5546875" style="187" customWidth="1"/>
    <col min="3331" max="3331" width="36" style="187" customWidth="1"/>
    <col min="3332" max="3332" width="34.6640625" style="187" customWidth="1"/>
    <col min="3333" max="3583" width="9.33203125" style="187"/>
    <col min="3584" max="3584" width="110.33203125" style="187" customWidth="1"/>
    <col min="3585" max="3585" width="43.5546875" style="187" customWidth="1"/>
    <col min="3586" max="3586" width="35.5546875" style="187" customWidth="1"/>
    <col min="3587" max="3587" width="36" style="187" customWidth="1"/>
    <col min="3588" max="3588" width="34.6640625" style="187" customWidth="1"/>
    <col min="3589" max="3839" width="9.33203125" style="187"/>
    <col min="3840" max="3840" width="110.33203125" style="187" customWidth="1"/>
    <col min="3841" max="3841" width="43.5546875" style="187" customWidth="1"/>
    <col min="3842" max="3842" width="35.5546875" style="187" customWidth="1"/>
    <col min="3843" max="3843" width="36" style="187" customWidth="1"/>
    <col min="3844" max="3844" width="34.6640625" style="187" customWidth="1"/>
    <col min="3845" max="4095" width="9.33203125" style="187"/>
    <col min="4096" max="4096" width="110.33203125" style="187" customWidth="1"/>
    <col min="4097" max="4097" width="43.5546875" style="187" customWidth="1"/>
    <col min="4098" max="4098" width="35.5546875" style="187" customWidth="1"/>
    <col min="4099" max="4099" width="36" style="187" customWidth="1"/>
    <col min="4100" max="4100" width="34.6640625" style="187" customWidth="1"/>
    <col min="4101" max="4351" width="9.33203125" style="187"/>
    <col min="4352" max="4352" width="110.33203125" style="187" customWidth="1"/>
    <col min="4353" max="4353" width="43.5546875" style="187" customWidth="1"/>
    <col min="4354" max="4354" width="35.5546875" style="187" customWidth="1"/>
    <col min="4355" max="4355" width="36" style="187" customWidth="1"/>
    <col min="4356" max="4356" width="34.6640625" style="187" customWidth="1"/>
    <col min="4357" max="4607" width="9.33203125" style="187"/>
    <col min="4608" max="4608" width="110.33203125" style="187" customWidth="1"/>
    <col min="4609" max="4609" width="43.5546875" style="187" customWidth="1"/>
    <col min="4610" max="4610" width="35.5546875" style="187" customWidth="1"/>
    <col min="4611" max="4611" width="36" style="187" customWidth="1"/>
    <col min="4612" max="4612" width="34.6640625" style="187" customWidth="1"/>
    <col min="4613" max="4863" width="9.33203125" style="187"/>
    <col min="4864" max="4864" width="110.33203125" style="187" customWidth="1"/>
    <col min="4865" max="4865" width="43.5546875" style="187" customWidth="1"/>
    <col min="4866" max="4866" width="35.5546875" style="187" customWidth="1"/>
    <col min="4867" max="4867" width="36" style="187" customWidth="1"/>
    <col min="4868" max="4868" width="34.6640625" style="187" customWidth="1"/>
    <col min="4869" max="5119" width="9.33203125" style="187"/>
    <col min="5120" max="5120" width="110.33203125" style="187" customWidth="1"/>
    <col min="5121" max="5121" width="43.5546875" style="187" customWidth="1"/>
    <col min="5122" max="5122" width="35.5546875" style="187" customWidth="1"/>
    <col min="5123" max="5123" width="36" style="187" customWidth="1"/>
    <col min="5124" max="5124" width="34.6640625" style="187" customWidth="1"/>
    <col min="5125" max="5375" width="9.33203125" style="187"/>
    <col min="5376" max="5376" width="110.33203125" style="187" customWidth="1"/>
    <col min="5377" max="5377" width="43.5546875" style="187" customWidth="1"/>
    <col min="5378" max="5378" width="35.5546875" style="187" customWidth="1"/>
    <col min="5379" max="5379" width="36" style="187" customWidth="1"/>
    <col min="5380" max="5380" width="34.6640625" style="187" customWidth="1"/>
    <col min="5381" max="5631" width="9.33203125" style="187"/>
    <col min="5632" max="5632" width="110.33203125" style="187" customWidth="1"/>
    <col min="5633" max="5633" width="43.5546875" style="187" customWidth="1"/>
    <col min="5634" max="5634" width="35.5546875" style="187" customWidth="1"/>
    <col min="5635" max="5635" width="36" style="187" customWidth="1"/>
    <col min="5636" max="5636" width="34.6640625" style="187" customWidth="1"/>
    <col min="5637" max="5887" width="9.33203125" style="187"/>
    <col min="5888" max="5888" width="110.33203125" style="187" customWidth="1"/>
    <col min="5889" max="5889" width="43.5546875" style="187" customWidth="1"/>
    <col min="5890" max="5890" width="35.5546875" style="187" customWidth="1"/>
    <col min="5891" max="5891" width="36" style="187" customWidth="1"/>
    <col min="5892" max="5892" width="34.6640625" style="187" customWidth="1"/>
    <col min="5893" max="6143" width="9.33203125" style="187"/>
    <col min="6144" max="6144" width="110.33203125" style="187" customWidth="1"/>
    <col min="6145" max="6145" width="43.5546875" style="187" customWidth="1"/>
    <col min="6146" max="6146" width="35.5546875" style="187" customWidth="1"/>
    <col min="6147" max="6147" width="36" style="187" customWidth="1"/>
    <col min="6148" max="6148" width="34.6640625" style="187" customWidth="1"/>
    <col min="6149" max="6399" width="9.33203125" style="187"/>
    <col min="6400" max="6400" width="110.33203125" style="187" customWidth="1"/>
    <col min="6401" max="6401" width="43.5546875" style="187" customWidth="1"/>
    <col min="6402" max="6402" width="35.5546875" style="187" customWidth="1"/>
    <col min="6403" max="6403" width="36" style="187" customWidth="1"/>
    <col min="6404" max="6404" width="34.6640625" style="187" customWidth="1"/>
    <col min="6405" max="6655" width="9.33203125" style="187"/>
    <col min="6656" max="6656" width="110.33203125" style="187" customWidth="1"/>
    <col min="6657" max="6657" width="43.5546875" style="187" customWidth="1"/>
    <col min="6658" max="6658" width="35.5546875" style="187" customWidth="1"/>
    <col min="6659" max="6659" width="36" style="187" customWidth="1"/>
    <col min="6660" max="6660" width="34.6640625" style="187" customWidth="1"/>
    <col min="6661" max="6911" width="9.33203125" style="187"/>
    <col min="6912" max="6912" width="110.33203125" style="187" customWidth="1"/>
    <col min="6913" max="6913" width="43.5546875" style="187" customWidth="1"/>
    <col min="6914" max="6914" width="35.5546875" style="187" customWidth="1"/>
    <col min="6915" max="6915" width="36" style="187" customWidth="1"/>
    <col min="6916" max="6916" width="34.6640625" style="187" customWidth="1"/>
    <col min="6917" max="7167" width="9.33203125" style="187"/>
    <col min="7168" max="7168" width="110.33203125" style="187" customWidth="1"/>
    <col min="7169" max="7169" width="43.5546875" style="187" customWidth="1"/>
    <col min="7170" max="7170" width="35.5546875" style="187" customWidth="1"/>
    <col min="7171" max="7171" width="36" style="187" customWidth="1"/>
    <col min="7172" max="7172" width="34.6640625" style="187" customWidth="1"/>
    <col min="7173" max="7423" width="9.33203125" style="187"/>
    <col min="7424" max="7424" width="110.33203125" style="187" customWidth="1"/>
    <col min="7425" max="7425" width="43.5546875" style="187" customWidth="1"/>
    <col min="7426" max="7426" width="35.5546875" style="187" customWidth="1"/>
    <col min="7427" max="7427" width="36" style="187" customWidth="1"/>
    <col min="7428" max="7428" width="34.6640625" style="187" customWidth="1"/>
    <col min="7429" max="7679" width="9.33203125" style="187"/>
    <col min="7680" max="7680" width="110.33203125" style="187" customWidth="1"/>
    <col min="7681" max="7681" width="43.5546875" style="187" customWidth="1"/>
    <col min="7682" max="7682" width="35.5546875" style="187" customWidth="1"/>
    <col min="7683" max="7683" width="36" style="187" customWidth="1"/>
    <col min="7684" max="7684" width="34.6640625" style="187" customWidth="1"/>
    <col min="7685" max="7935" width="9.33203125" style="187"/>
    <col min="7936" max="7936" width="110.33203125" style="187" customWidth="1"/>
    <col min="7937" max="7937" width="43.5546875" style="187" customWidth="1"/>
    <col min="7938" max="7938" width="35.5546875" style="187" customWidth="1"/>
    <col min="7939" max="7939" width="36" style="187" customWidth="1"/>
    <col min="7940" max="7940" width="34.6640625" style="187" customWidth="1"/>
    <col min="7941" max="8191" width="9.33203125" style="187"/>
    <col min="8192" max="8192" width="110.33203125" style="187" customWidth="1"/>
    <col min="8193" max="8193" width="43.5546875" style="187" customWidth="1"/>
    <col min="8194" max="8194" width="35.5546875" style="187" customWidth="1"/>
    <col min="8195" max="8195" width="36" style="187" customWidth="1"/>
    <col min="8196" max="8196" width="34.6640625" style="187" customWidth="1"/>
    <col min="8197" max="8447" width="9.33203125" style="187"/>
    <col min="8448" max="8448" width="110.33203125" style="187" customWidth="1"/>
    <col min="8449" max="8449" width="43.5546875" style="187" customWidth="1"/>
    <col min="8450" max="8450" width="35.5546875" style="187" customWidth="1"/>
    <col min="8451" max="8451" width="36" style="187" customWidth="1"/>
    <col min="8452" max="8452" width="34.6640625" style="187" customWidth="1"/>
    <col min="8453" max="8703" width="9.33203125" style="187"/>
    <col min="8704" max="8704" width="110.33203125" style="187" customWidth="1"/>
    <col min="8705" max="8705" width="43.5546875" style="187" customWidth="1"/>
    <col min="8706" max="8706" width="35.5546875" style="187" customWidth="1"/>
    <col min="8707" max="8707" width="36" style="187" customWidth="1"/>
    <col min="8708" max="8708" width="34.6640625" style="187" customWidth="1"/>
    <col min="8709" max="8959" width="9.33203125" style="187"/>
    <col min="8960" max="8960" width="110.33203125" style="187" customWidth="1"/>
    <col min="8961" max="8961" width="43.5546875" style="187" customWidth="1"/>
    <col min="8962" max="8962" width="35.5546875" style="187" customWidth="1"/>
    <col min="8963" max="8963" width="36" style="187" customWidth="1"/>
    <col min="8964" max="8964" width="34.6640625" style="187" customWidth="1"/>
    <col min="8965" max="9215" width="9.33203125" style="187"/>
    <col min="9216" max="9216" width="110.33203125" style="187" customWidth="1"/>
    <col min="9217" max="9217" width="43.5546875" style="187" customWidth="1"/>
    <col min="9218" max="9218" width="35.5546875" style="187" customWidth="1"/>
    <col min="9219" max="9219" width="36" style="187" customWidth="1"/>
    <col min="9220" max="9220" width="34.6640625" style="187" customWidth="1"/>
    <col min="9221" max="9471" width="9.33203125" style="187"/>
    <col min="9472" max="9472" width="110.33203125" style="187" customWidth="1"/>
    <col min="9473" max="9473" width="43.5546875" style="187" customWidth="1"/>
    <col min="9474" max="9474" width="35.5546875" style="187" customWidth="1"/>
    <col min="9475" max="9475" width="36" style="187" customWidth="1"/>
    <col min="9476" max="9476" width="34.6640625" style="187" customWidth="1"/>
    <col min="9477" max="9727" width="9.33203125" style="187"/>
    <col min="9728" max="9728" width="110.33203125" style="187" customWidth="1"/>
    <col min="9729" max="9729" width="43.5546875" style="187" customWidth="1"/>
    <col min="9730" max="9730" width="35.5546875" style="187" customWidth="1"/>
    <col min="9731" max="9731" width="36" style="187" customWidth="1"/>
    <col min="9732" max="9732" width="34.6640625" style="187" customWidth="1"/>
    <col min="9733" max="9983" width="9.33203125" style="187"/>
    <col min="9984" max="9984" width="110.33203125" style="187" customWidth="1"/>
    <col min="9985" max="9985" width="43.5546875" style="187" customWidth="1"/>
    <col min="9986" max="9986" width="35.5546875" style="187" customWidth="1"/>
    <col min="9987" max="9987" width="36" style="187" customWidth="1"/>
    <col min="9988" max="9988" width="34.6640625" style="187" customWidth="1"/>
    <col min="9989" max="10239" width="9.33203125" style="187"/>
    <col min="10240" max="10240" width="110.33203125" style="187" customWidth="1"/>
    <col min="10241" max="10241" width="43.5546875" style="187" customWidth="1"/>
    <col min="10242" max="10242" width="35.5546875" style="187" customWidth="1"/>
    <col min="10243" max="10243" width="36" style="187" customWidth="1"/>
    <col min="10244" max="10244" width="34.6640625" style="187" customWidth="1"/>
    <col min="10245" max="10495" width="9.33203125" style="187"/>
    <col min="10496" max="10496" width="110.33203125" style="187" customWidth="1"/>
    <col min="10497" max="10497" width="43.5546875" style="187" customWidth="1"/>
    <col min="10498" max="10498" width="35.5546875" style="187" customWidth="1"/>
    <col min="10499" max="10499" width="36" style="187" customWidth="1"/>
    <col min="10500" max="10500" width="34.6640625" style="187" customWidth="1"/>
    <col min="10501" max="10751" width="9.33203125" style="187"/>
    <col min="10752" max="10752" width="110.33203125" style="187" customWidth="1"/>
    <col min="10753" max="10753" width="43.5546875" style="187" customWidth="1"/>
    <col min="10754" max="10754" width="35.5546875" style="187" customWidth="1"/>
    <col min="10755" max="10755" width="36" style="187" customWidth="1"/>
    <col min="10756" max="10756" width="34.6640625" style="187" customWidth="1"/>
    <col min="10757" max="11007" width="9.33203125" style="187"/>
    <col min="11008" max="11008" width="110.33203125" style="187" customWidth="1"/>
    <col min="11009" max="11009" width="43.5546875" style="187" customWidth="1"/>
    <col min="11010" max="11010" width="35.5546875" style="187" customWidth="1"/>
    <col min="11011" max="11011" width="36" style="187" customWidth="1"/>
    <col min="11012" max="11012" width="34.6640625" style="187" customWidth="1"/>
    <col min="11013" max="11263" width="9.33203125" style="187"/>
    <col min="11264" max="11264" width="110.33203125" style="187" customWidth="1"/>
    <col min="11265" max="11265" width="43.5546875" style="187" customWidth="1"/>
    <col min="11266" max="11266" width="35.5546875" style="187" customWidth="1"/>
    <col min="11267" max="11267" width="36" style="187" customWidth="1"/>
    <col min="11268" max="11268" width="34.6640625" style="187" customWidth="1"/>
    <col min="11269" max="11519" width="9.33203125" style="187"/>
    <col min="11520" max="11520" width="110.33203125" style="187" customWidth="1"/>
    <col min="11521" max="11521" width="43.5546875" style="187" customWidth="1"/>
    <col min="11522" max="11522" width="35.5546875" style="187" customWidth="1"/>
    <col min="11523" max="11523" width="36" style="187" customWidth="1"/>
    <col min="11524" max="11524" width="34.6640625" style="187" customWidth="1"/>
    <col min="11525" max="11775" width="9.33203125" style="187"/>
    <col min="11776" max="11776" width="110.33203125" style="187" customWidth="1"/>
    <col min="11777" max="11777" width="43.5546875" style="187" customWidth="1"/>
    <col min="11778" max="11778" width="35.5546875" style="187" customWidth="1"/>
    <col min="11779" max="11779" width="36" style="187" customWidth="1"/>
    <col min="11780" max="11780" width="34.6640625" style="187" customWidth="1"/>
    <col min="11781" max="12031" width="9.33203125" style="187"/>
    <col min="12032" max="12032" width="110.33203125" style="187" customWidth="1"/>
    <col min="12033" max="12033" width="43.5546875" style="187" customWidth="1"/>
    <col min="12034" max="12034" width="35.5546875" style="187" customWidth="1"/>
    <col min="12035" max="12035" width="36" style="187" customWidth="1"/>
    <col min="12036" max="12036" width="34.6640625" style="187" customWidth="1"/>
    <col min="12037" max="12287" width="9.33203125" style="187"/>
    <col min="12288" max="12288" width="110.33203125" style="187" customWidth="1"/>
    <col min="12289" max="12289" width="43.5546875" style="187" customWidth="1"/>
    <col min="12290" max="12290" width="35.5546875" style="187" customWidth="1"/>
    <col min="12291" max="12291" width="36" style="187" customWidth="1"/>
    <col min="12292" max="12292" width="34.6640625" style="187" customWidth="1"/>
    <col min="12293" max="12543" width="9.33203125" style="187"/>
    <col min="12544" max="12544" width="110.33203125" style="187" customWidth="1"/>
    <col min="12545" max="12545" width="43.5546875" style="187" customWidth="1"/>
    <col min="12546" max="12546" width="35.5546875" style="187" customWidth="1"/>
    <col min="12547" max="12547" width="36" style="187" customWidth="1"/>
    <col min="12548" max="12548" width="34.6640625" style="187" customWidth="1"/>
    <col min="12549" max="12799" width="9.33203125" style="187"/>
    <col min="12800" max="12800" width="110.33203125" style="187" customWidth="1"/>
    <col min="12801" max="12801" width="43.5546875" style="187" customWidth="1"/>
    <col min="12802" max="12802" width="35.5546875" style="187" customWidth="1"/>
    <col min="12803" max="12803" width="36" style="187" customWidth="1"/>
    <col min="12804" max="12804" width="34.6640625" style="187" customWidth="1"/>
    <col min="12805" max="13055" width="9.33203125" style="187"/>
    <col min="13056" max="13056" width="110.33203125" style="187" customWidth="1"/>
    <col min="13057" max="13057" width="43.5546875" style="187" customWidth="1"/>
    <col min="13058" max="13058" width="35.5546875" style="187" customWidth="1"/>
    <col min="13059" max="13059" width="36" style="187" customWidth="1"/>
    <col min="13060" max="13060" width="34.6640625" style="187" customWidth="1"/>
    <col min="13061" max="13311" width="9.33203125" style="187"/>
    <col min="13312" max="13312" width="110.33203125" style="187" customWidth="1"/>
    <col min="13313" max="13313" width="43.5546875" style="187" customWidth="1"/>
    <col min="13314" max="13314" width="35.5546875" style="187" customWidth="1"/>
    <col min="13315" max="13315" width="36" style="187" customWidth="1"/>
    <col min="13316" max="13316" width="34.6640625" style="187" customWidth="1"/>
    <col min="13317" max="13567" width="9.33203125" style="187"/>
    <col min="13568" max="13568" width="110.33203125" style="187" customWidth="1"/>
    <col min="13569" max="13569" width="43.5546875" style="187" customWidth="1"/>
    <col min="13570" max="13570" width="35.5546875" style="187" customWidth="1"/>
    <col min="13571" max="13571" width="36" style="187" customWidth="1"/>
    <col min="13572" max="13572" width="34.6640625" style="187" customWidth="1"/>
    <col min="13573" max="13823" width="9.33203125" style="187"/>
    <col min="13824" max="13824" width="110.33203125" style="187" customWidth="1"/>
    <col min="13825" max="13825" width="43.5546875" style="187" customWidth="1"/>
    <col min="13826" max="13826" width="35.5546875" style="187" customWidth="1"/>
    <col min="13827" max="13827" width="36" style="187" customWidth="1"/>
    <col min="13828" max="13828" width="34.6640625" style="187" customWidth="1"/>
    <col min="13829" max="14079" width="9.33203125" style="187"/>
    <col min="14080" max="14080" width="110.33203125" style="187" customWidth="1"/>
    <col min="14081" max="14081" width="43.5546875" style="187" customWidth="1"/>
    <col min="14082" max="14082" width="35.5546875" style="187" customWidth="1"/>
    <col min="14083" max="14083" width="36" style="187" customWidth="1"/>
    <col min="14084" max="14084" width="34.6640625" style="187" customWidth="1"/>
    <col min="14085" max="14335" width="9.33203125" style="187"/>
    <col min="14336" max="14336" width="110.33203125" style="187" customWidth="1"/>
    <col min="14337" max="14337" width="43.5546875" style="187" customWidth="1"/>
    <col min="14338" max="14338" width="35.5546875" style="187" customWidth="1"/>
    <col min="14339" max="14339" width="36" style="187" customWidth="1"/>
    <col min="14340" max="14340" width="34.6640625" style="187" customWidth="1"/>
    <col min="14341" max="14591" width="9.33203125" style="187"/>
    <col min="14592" max="14592" width="110.33203125" style="187" customWidth="1"/>
    <col min="14593" max="14593" width="43.5546875" style="187" customWidth="1"/>
    <col min="14594" max="14594" width="35.5546875" style="187" customWidth="1"/>
    <col min="14595" max="14595" width="36" style="187" customWidth="1"/>
    <col min="14596" max="14596" width="34.6640625" style="187" customWidth="1"/>
    <col min="14597" max="14847" width="9.33203125" style="187"/>
    <col min="14848" max="14848" width="110.33203125" style="187" customWidth="1"/>
    <col min="14849" max="14849" width="43.5546875" style="187" customWidth="1"/>
    <col min="14850" max="14850" width="35.5546875" style="187" customWidth="1"/>
    <col min="14851" max="14851" width="36" style="187" customWidth="1"/>
    <col min="14852" max="14852" width="34.6640625" style="187" customWidth="1"/>
    <col min="14853" max="15103" width="9.33203125" style="187"/>
    <col min="15104" max="15104" width="110.33203125" style="187" customWidth="1"/>
    <col min="15105" max="15105" width="43.5546875" style="187" customWidth="1"/>
    <col min="15106" max="15106" width="35.5546875" style="187" customWidth="1"/>
    <col min="15107" max="15107" width="36" style="187" customWidth="1"/>
    <col min="15108" max="15108" width="34.6640625" style="187" customWidth="1"/>
    <col min="15109" max="15359" width="9.33203125" style="187"/>
    <col min="15360" max="15360" width="110.33203125" style="187" customWidth="1"/>
    <col min="15361" max="15361" width="43.5546875" style="187" customWidth="1"/>
    <col min="15362" max="15362" width="35.5546875" style="187" customWidth="1"/>
    <col min="15363" max="15363" width="36" style="187" customWidth="1"/>
    <col min="15364" max="15364" width="34.6640625" style="187" customWidth="1"/>
    <col min="15365" max="15615" width="9.33203125" style="187"/>
    <col min="15616" max="15616" width="110.33203125" style="187" customWidth="1"/>
    <col min="15617" max="15617" width="43.5546875" style="187" customWidth="1"/>
    <col min="15618" max="15618" width="35.5546875" style="187" customWidth="1"/>
    <col min="15619" max="15619" width="36" style="187" customWidth="1"/>
    <col min="15620" max="15620" width="34.6640625" style="187" customWidth="1"/>
    <col min="15621" max="15871" width="9.33203125" style="187"/>
    <col min="15872" max="15872" width="110.33203125" style="187" customWidth="1"/>
    <col min="15873" max="15873" width="43.5546875" style="187" customWidth="1"/>
    <col min="15874" max="15874" width="35.5546875" style="187" customWidth="1"/>
    <col min="15875" max="15875" width="36" style="187" customWidth="1"/>
    <col min="15876" max="15876" width="34.6640625" style="187" customWidth="1"/>
    <col min="15877" max="16127" width="9.33203125" style="187"/>
    <col min="16128" max="16128" width="110.33203125" style="187" customWidth="1"/>
    <col min="16129" max="16129" width="43.5546875" style="187" customWidth="1"/>
    <col min="16130" max="16130" width="35.5546875" style="187" customWidth="1"/>
    <col min="16131" max="16131" width="36" style="187" customWidth="1"/>
    <col min="16132" max="16132" width="34.6640625" style="187" customWidth="1"/>
    <col min="16133" max="16384" width="9.33203125" style="187"/>
  </cols>
  <sheetData>
    <row r="2" spans="2:4" x14ac:dyDescent="0.25">
      <c r="B2" s="208"/>
      <c r="C2" s="299" t="s">
        <v>132</v>
      </c>
      <c r="D2" s="208"/>
    </row>
    <row r="3" spans="2:4" x14ac:dyDescent="0.25">
      <c r="B3" s="304"/>
      <c r="C3" s="303" t="s">
        <v>592</v>
      </c>
      <c r="D3" s="304"/>
    </row>
    <row r="4" spans="2:4" x14ac:dyDescent="0.25">
      <c r="B4" s="304"/>
      <c r="C4" s="303" t="s">
        <v>599</v>
      </c>
      <c r="D4" s="304"/>
    </row>
    <row r="5" spans="2:4" x14ac:dyDescent="0.25">
      <c r="B5" s="208"/>
      <c r="C5" s="303"/>
      <c r="D5" s="284" t="s">
        <v>73</v>
      </c>
    </row>
    <row r="6" spans="2:4" s="188" customFormat="1" ht="61.5" customHeight="1" x14ac:dyDescent="0.25">
      <c r="B6" s="398" t="s">
        <v>74</v>
      </c>
      <c r="C6" s="399" t="s">
        <v>600</v>
      </c>
      <c r="D6" s="399" t="s">
        <v>601</v>
      </c>
    </row>
    <row r="7" spans="2:4" x14ac:dyDescent="0.25">
      <c r="B7" s="400" t="s">
        <v>602</v>
      </c>
      <c r="C7" s="202"/>
      <c r="D7" s="202"/>
    </row>
    <row r="8" spans="2:4" x14ac:dyDescent="0.25">
      <c r="B8" s="401" t="s">
        <v>603</v>
      </c>
      <c r="C8" s="203"/>
      <c r="D8" s="203"/>
    </row>
    <row r="9" spans="2:4" x14ac:dyDescent="0.25">
      <c r="B9" s="401" t="s">
        <v>604</v>
      </c>
      <c r="C9" s="203"/>
      <c r="D9" s="203"/>
    </row>
    <row r="10" spans="2:4" x14ac:dyDescent="0.25">
      <c r="B10" s="401" t="s">
        <v>216</v>
      </c>
      <c r="C10" s="203"/>
      <c r="D10" s="203"/>
    </row>
    <row r="11" spans="2:4" x14ac:dyDescent="0.25">
      <c r="B11" s="402" t="s">
        <v>605</v>
      </c>
      <c r="C11" s="203"/>
      <c r="D11" s="203"/>
    </row>
    <row r="12" spans="2:4" x14ac:dyDescent="0.25">
      <c r="B12" s="401"/>
      <c r="C12" s="202"/>
      <c r="D12" s="202"/>
    </row>
    <row r="13" spans="2:4" x14ac:dyDescent="0.25">
      <c r="B13" s="400" t="s">
        <v>606</v>
      </c>
      <c r="C13" s="202"/>
      <c r="D13" s="202"/>
    </row>
    <row r="14" spans="2:4" x14ac:dyDescent="0.25">
      <c r="B14" s="401" t="s">
        <v>603</v>
      </c>
      <c r="C14" s="203"/>
      <c r="D14" s="203"/>
    </row>
    <row r="15" spans="2:4" x14ac:dyDescent="0.25">
      <c r="B15" s="401" t="s">
        <v>604</v>
      </c>
      <c r="C15" s="203"/>
      <c r="D15" s="203"/>
    </row>
    <row r="16" spans="2:4" x14ac:dyDescent="0.25">
      <c r="B16" s="401" t="s">
        <v>216</v>
      </c>
      <c r="C16" s="203"/>
      <c r="D16" s="203"/>
    </row>
    <row r="17" spans="2:4" x14ac:dyDescent="0.25">
      <c r="B17" s="402" t="s">
        <v>607</v>
      </c>
      <c r="C17" s="203"/>
      <c r="D17" s="203"/>
    </row>
    <row r="18" spans="2:4" x14ac:dyDescent="0.25">
      <c r="B18" s="401"/>
      <c r="C18" s="202"/>
      <c r="D18" s="202"/>
    </row>
    <row r="19" spans="2:4" x14ac:dyDescent="0.25">
      <c r="B19" s="402" t="s">
        <v>608</v>
      </c>
      <c r="C19" s="202"/>
      <c r="D19" s="202"/>
    </row>
    <row r="21" spans="2:4" x14ac:dyDescent="0.25">
      <c r="B21" s="169" t="s">
        <v>597</v>
      </c>
    </row>
  </sheetData>
  <printOptions horizontalCentered="1"/>
  <pageMargins left="1.14173228346457" right="0.35433070866141703" top="1.0629921259842501" bottom="0.98425196850393704" header="0.31496062992126" footer="0.31496062992126"/>
  <pageSetup paperSize="9"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1:L37"/>
  <sheetViews>
    <sheetView showGridLines="0" view="pageBreakPreview" zoomScale="60" zoomScaleNormal="60" workbookViewId="0">
      <selection activeCell="L5" sqref="L5"/>
    </sheetView>
  </sheetViews>
  <sheetFormatPr defaultColWidth="9.33203125" defaultRowHeight="13.8" x14ac:dyDescent="0.25"/>
  <cols>
    <col min="1" max="1" width="14.5546875" style="169" customWidth="1"/>
    <col min="2" max="2" width="14.44140625" style="193" customWidth="1"/>
    <col min="3" max="3" width="58.33203125" style="194" customWidth="1"/>
    <col min="4" max="6" width="15.33203125" style="169" customWidth="1"/>
    <col min="7" max="7" width="24.33203125" style="169" customWidth="1"/>
    <col min="8" max="8" width="15.33203125" style="169" customWidth="1"/>
    <col min="9" max="9" width="16.33203125" style="169" customWidth="1"/>
    <col min="10" max="10" width="15.33203125" style="169" customWidth="1"/>
    <col min="11" max="11" width="18.6640625" style="185" customWidth="1"/>
    <col min="12" max="12" width="15.33203125" style="195" customWidth="1"/>
    <col min="13" max="13" width="19.44140625" style="169" customWidth="1"/>
    <col min="14" max="250" width="9.33203125" style="169"/>
    <col min="251" max="251" width="14.5546875" style="169" customWidth="1"/>
    <col min="252" max="252" width="14.44140625" style="169" customWidth="1"/>
    <col min="253" max="253" width="58.33203125" style="169" customWidth="1"/>
    <col min="254" max="254" width="30.44140625" style="169" customWidth="1"/>
    <col min="255" max="255" width="27.33203125" style="169" customWidth="1"/>
    <col min="256" max="256" width="30.6640625" style="169" customWidth="1"/>
    <col min="257" max="257" width="24.6640625" style="169" customWidth="1"/>
    <col min="258" max="258" width="27.33203125" style="169" customWidth="1"/>
    <col min="259" max="259" width="32" style="169" customWidth="1"/>
    <col min="260" max="260" width="25.5546875" style="169" customWidth="1"/>
    <col min="261" max="261" width="27.33203125" style="169" customWidth="1"/>
    <col min="262" max="262" width="31.44140625" style="169" customWidth="1"/>
    <col min="263" max="263" width="30.5546875" style="169" customWidth="1"/>
    <col min="264" max="264" width="27.33203125" style="169" customWidth="1"/>
    <col min="265" max="265" width="32.5546875" style="169" customWidth="1"/>
    <col min="266" max="266" width="30.44140625" style="169" customWidth="1"/>
    <col min="267" max="267" width="24.33203125" style="169" customWidth="1"/>
    <col min="268" max="268" width="28" style="169" customWidth="1"/>
    <col min="269" max="269" width="19.44140625" style="169" customWidth="1"/>
    <col min="270" max="506" width="9.33203125" style="169"/>
    <col min="507" max="507" width="14.5546875" style="169" customWidth="1"/>
    <col min="508" max="508" width="14.44140625" style="169" customWidth="1"/>
    <col min="509" max="509" width="58.33203125" style="169" customWidth="1"/>
    <col min="510" max="510" width="30.44140625" style="169" customWidth="1"/>
    <col min="511" max="511" width="27.33203125" style="169" customWidth="1"/>
    <col min="512" max="512" width="30.6640625" style="169" customWidth="1"/>
    <col min="513" max="513" width="24.6640625" style="169" customWidth="1"/>
    <col min="514" max="514" width="27.33203125" style="169" customWidth="1"/>
    <col min="515" max="515" width="32" style="169" customWidth="1"/>
    <col min="516" max="516" width="25.5546875" style="169" customWidth="1"/>
    <col min="517" max="517" width="27.33203125" style="169" customWidth="1"/>
    <col min="518" max="518" width="31.44140625" style="169" customWidth="1"/>
    <col min="519" max="519" width="30.5546875" style="169" customWidth="1"/>
    <col min="520" max="520" width="27.33203125" style="169" customWidth="1"/>
    <col min="521" max="521" width="32.5546875" style="169" customWidth="1"/>
    <col min="522" max="522" width="30.44140625" style="169" customWidth="1"/>
    <col min="523" max="523" width="24.33203125" style="169" customWidth="1"/>
    <col min="524" max="524" width="28" style="169" customWidth="1"/>
    <col min="525" max="525" width="19.44140625" style="169" customWidth="1"/>
    <col min="526" max="762" width="9.33203125" style="169"/>
    <col min="763" max="763" width="14.5546875" style="169" customWidth="1"/>
    <col min="764" max="764" width="14.44140625" style="169" customWidth="1"/>
    <col min="765" max="765" width="58.33203125" style="169" customWidth="1"/>
    <col min="766" max="766" width="30.44140625" style="169" customWidth="1"/>
    <col min="767" max="767" width="27.33203125" style="169" customWidth="1"/>
    <col min="768" max="768" width="30.6640625" style="169" customWidth="1"/>
    <col min="769" max="769" width="24.6640625" style="169" customWidth="1"/>
    <col min="770" max="770" width="27.33203125" style="169" customWidth="1"/>
    <col min="771" max="771" width="32" style="169" customWidth="1"/>
    <col min="772" max="772" width="25.5546875" style="169" customWidth="1"/>
    <col min="773" max="773" width="27.33203125" style="169" customWidth="1"/>
    <col min="774" max="774" width="31.44140625" style="169" customWidth="1"/>
    <col min="775" max="775" width="30.5546875" style="169" customWidth="1"/>
    <col min="776" max="776" width="27.33203125" style="169" customWidth="1"/>
    <col min="777" max="777" width="32.5546875" style="169" customWidth="1"/>
    <col min="778" max="778" width="30.44140625" style="169" customWidth="1"/>
    <col min="779" max="779" width="24.33203125" style="169" customWidth="1"/>
    <col min="780" max="780" width="28" style="169" customWidth="1"/>
    <col min="781" max="781" width="19.44140625" style="169" customWidth="1"/>
    <col min="782" max="1018" width="9.33203125" style="169"/>
    <col min="1019" max="1019" width="14.5546875" style="169" customWidth="1"/>
    <col min="1020" max="1020" width="14.44140625" style="169" customWidth="1"/>
    <col min="1021" max="1021" width="58.33203125" style="169" customWidth="1"/>
    <col min="1022" max="1022" width="30.44140625" style="169" customWidth="1"/>
    <col min="1023" max="1023" width="27.33203125" style="169" customWidth="1"/>
    <col min="1024" max="1024" width="30.6640625" style="169" customWidth="1"/>
    <col min="1025" max="1025" width="24.6640625" style="169" customWidth="1"/>
    <col min="1026" max="1026" width="27.33203125" style="169" customWidth="1"/>
    <col min="1027" max="1027" width="32" style="169" customWidth="1"/>
    <col min="1028" max="1028" width="25.5546875" style="169" customWidth="1"/>
    <col min="1029" max="1029" width="27.33203125" style="169" customWidth="1"/>
    <col min="1030" max="1030" width="31.44140625" style="169" customWidth="1"/>
    <col min="1031" max="1031" width="30.5546875" style="169" customWidth="1"/>
    <col min="1032" max="1032" width="27.33203125" style="169" customWidth="1"/>
    <col min="1033" max="1033" width="32.5546875" style="169" customWidth="1"/>
    <col min="1034" max="1034" width="30.44140625" style="169" customWidth="1"/>
    <col min="1035" max="1035" width="24.33203125" style="169" customWidth="1"/>
    <col min="1036" max="1036" width="28" style="169" customWidth="1"/>
    <col min="1037" max="1037" width="19.44140625" style="169" customWidth="1"/>
    <col min="1038" max="1274" width="9.33203125" style="169"/>
    <col min="1275" max="1275" width="14.5546875" style="169" customWidth="1"/>
    <col min="1276" max="1276" width="14.44140625" style="169" customWidth="1"/>
    <col min="1277" max="1277" width="58.33203125" style="169" customWidth="1"/>
    <col min="1278" max="1278" width="30.44140625" style="169" customWidth="1"/>
    <col min="1279" max="1279" width="27.33203125" style="169" customWidth="1"/>
    <col min="1280" max="1280" width="30.6640625" style="169" customWidth="1"/>
    <col min="1281" max="1281" width="24.6640625" style="169" customWidth="1"/>
    <col min="1282" max="1282" width="27.33203125" style="169" customWidth="1"/>
    <col min="1283" max="1283" width="32" style="169" customWidth="1"/>
    <col min="1284" max="1284" width="25.5546875" style="169" customWidth="1"/>
    <col min="1285" max="1285" width="27.33203125" style="169" customWidth="1"/>
    <col min="1286" max="1286" width="31.44140625" style="169" customWidth="1"/>
    <col min="1287" max="1287" width="30.5546875" style="169" customWidth="1"/>
    <col min="1288" max="1288" width="27.33203125" style="169" customWidth="1"/>
    <col min="1289" max="1289" width="32.5546875" style="169" customWidth="1"/>
    <col min="1290" max="1290" width="30.44140625" style="169" customWidth="1"/>
    <col min="1291" max="1291" width="24.33203125" style="169" customWidth="1"/>
    <col min="1292" max="1292" width="28" style="169" customWidth="1"/>
    <col min="1293" max="1293" width="19.44140625" style="169" customWidth="1"/>
    <col min="1294" max="1530" width="9.33203125" style="169"/>
    <col min="1531" max="1531" width="14.5546875" style="169" customWidth="1"/>
    <col min="1532" max="1532" width="14.44140625" style="169" customWidth="1"/>
    <col min="1533" max="1533" width="58.33203125" style="169" customWidth="1"/>
    <col min="1534" max="1534" width="30.44140625" style="169" customWidth="1"/>
    <col min="1535" max="1535" width="27.33203125" style="169" customWidth="1"/>
    <col min="1536" max="1536" width="30.6640625" style="169" customWidth="1"/>
    <col min="1537" max="1537" width="24.6640625" style="169" customWidth="1"/>
    <col min="1538" max="1538" width="27.33203125" style="169" customWidth="1"/>
    <col min="1539" max="1539" width="32" style="169" customWidth="1"/>
    <col min="1540" max="1540" width="25.5546875" style="169" customWidth="1"/>
    <col min="1541" max="1541" width="27.33203125" style="169" customWidth="1"/>
    <col min="1542" max="1542" width="31.44140625" style="169" customWidth="1"/>
    <col min="1543" max="1543" width="30.5546875" style="169" customWidth="1"/>
    <col min="1544" max="1544" width="27.33203125" style="169" customWidth="1"/>
    <col min="1545" max="1545" width="32.5546875" style="169" customWidth="1"/>
    <col min="1546" max="1546" width="30.44140625" style="169" customWidth="1"/>
    <col min="1547" max="1547" width="24.33203125" style="169" customWidth="1"/>
    <col min="1548" max="1548" width="28" style="169" customWidth="1"/>
    <col min="1549" max="1549" width="19.44140625" style="169" customWidth="1"/>
    <col min="1550" max="1786" width="9.33203125" style="169"/>
    <col min="1787" max="1787" width="14.5546875" style="169" customWidth="1"/>
    <col min="1788" max="1788" width="14.44140625" style="169" customWidth="1"/>
    <col min="1789" max="1789" width="58.33203125" style="169" customWidth="1"/>
    <col min="1790" max="1790" width="30.44140625" style="169" customWidth="1"/>
    <col min="1791" max="1791" width="27.33203125" style="169" customWidth="1"/>
    <col min="1792" max="1792" width="30.6640625" style="169" customWidth="1"/>
    <col min="1793" max="1793" width="24.6640625" style="169" customWidth="1"/>
    <col min="1794" max="1794" width="27.33203125" style="169" customWidth="1"/>
    <col min="1795" max="1795" width="32" style="169" customWidth="1"/>
    <col min="1796" max="1796" width="25.5546875" style="169" customWidth="1"/>
    <col min="1797" max="1797" width="27.33203125" style="169" customWidth="1"/>
    <col min="1798" max="1798" width="31.44140625" style="169" customWidth="1"/>
    <col min="1799" max="1799" width="30.5546875" style="169" customWidth="1"/>
    <col min="1800" max="1800" width="27.33203125" style="169" customWidth="1"/>
    <col min="1801" max="1801" width="32.5546875" style="169" customWidth="1"/>
    <col min="1802" max="1802" width="30.44140625" style="169" customWidth="1"/>
    <col min="1803" max="1803" width="24.33203125" style="169" customWidth="1"/>
    <col min="1804" max="1804" width="28" style="169" customWidth="1"/>
    <col min="1805" max="1805" width="19.44140625" style="169" customWidth="1"/>
    <col min="1806" max="2042" width="9.33203125" style="169"/>
    <col min="2043" max="2043" width="14.5546875" style="169" customWidth="1"/>
    <col min="2044" max="2044" width="14.44140625" style="169" customWidth="1"/>
    <col min="2045" max="2045" width="58.33203125" style="169" customWidth="1"/>
    <col min="2046" max="2046" width="30.44140625" style="169" customWidth="1"/>
    <col min="2047" max="2047" width="27.33203125" style="169" customWidth="1"/>
    <col min="2048" max="2048" width="30.6640625" style="169" customWidth="1"/>
    <col min="2049" max="2049" width="24.6640625" style="169" customWidth="1"/>
    <col min="2050" max="2050" width="27.33203125" style="169" customWidth="1"/>
    <col min="2051" max="2051" width="32" style="169" customWidth="1"/>
    <col min="2052" max="2052" width="25.5546875" style="169" customWidth="1"/>
    <col min="2053" max="2053" width="27.33203125" style="169" customWidth="1"/>
    <col min="2054" max="2054" width="31.44140625" style="169" customWidth="1"/>
    <col min="2055" max="2055" width="30.5546875" style="169" customWidth="1"/>
    <col min="2056" max="2056" width="27.33203125" style="169" customWidth="1"/>
    <col min="2057" max="2057" width="32.5546875" style="169" customWidth="1"/>
    <col min="2058" max="2058" width="30.44140625" style="169" customWidth="1"/>
    <col min="2059" max="2059" width="24.33203125" style="169" customWidth="1"/>
    <col min="2060" max="2060" width="28" style="169" customWidth="1"/>
    <col min="2061" max="2061" width="19.44140625" style="169" customWidth="1"/>
    <col min="2062" max="2298" width="9.33203125" style="169"/>
    <col min="2299" max="2299" width="14.5546875" style="169" customWidth="1"/>
    <col min="2300" max="2300" width="14.44140625" style="169" customWidth="1"/>
    <col min="2301" max="2301" width="58.33203125" style="169" customWidth="1"/>
    <col min="2302" max="2302" width="30.44140625" style="169" customWidth="1"/>
    <col min="2303" max="2303" width="27.33203125" style="169" customWidth="1"/>
    <col min="2304" max="2304" width="30.6640625" style="169" customWidth="1"/>
    <col min="2305" max="2305" width="24.6640625" style="169" customWidth="1"/>
    <col min="2306" max="2306" width="27.33203125" style="169" customWidth="1"/>
    <col min="2307" max="2307" width="32" style="169" customWidth="1"/>
    <col min="2308" max="2308" width="25.5546875" style="169" customWidth="1"/>
    <col min="2309" max="2309" width="27.33203125" style="169" customWidth="1"/>
    <col min="2310" max="2310" width="31.44140625" style="169" customWidth="1"/>
    <col min="2311" max="2311" width="30.5546875" style="169" customWidth="1"/>
    <col min="2312" max="2312" width="27.33203125" style="169" customWidth="1"/>
    <col min="2313" max="2313" width="32.5546875" style="169" customWidth="1"/>
    <col min="2314" max="2314" width="30.44140625" style="169" customWidth="1"/>
    <col min="2315" max="2315" width="24.33203125" style="169" customWidth="1"/>
    <col min="2316" max="2316" width="28" style="169" customWidth="1"/>
    <col min="2317" max="2317" width="19.44140625" style="169" customWidth="1"/>
    <col min="2318" max="2554" width="9.33203125" style="169"/>
    <col min="2555" max="2555" width="14.5546875" style="169" customWidth="1"/>
    <col min="2556" max="2556" width="14.44140625" style="169" customWidth="1"/>
    <col min="2557" max="2557" width="58.33203125" style="169" customWidth="1"/>
    <col min="2558" max="2558" width="30.44140625" style="169" customWidth="1"/>
    <col min="2559" max="2559" width="27.33203125" style="169" customWidth="1"/>
    <col min="2560" max="2560" width="30.6640625" style="169" customWidth="1"/>
    <col min="2561" max="2561" width="24.6640625" style="169" customWidth="1"/>
    <col min="2562" max="2562" width="27.33203125" style="169" customWidth="1"/>
    <col min="2563" max="2563" width="32" style="169" customWidth="1"/>
    <col min="2564" max="2564" width="25.5546875" style="169" customWidth="1"/>
    <col min="2565" max="2565" width="27.33203125" style="169" customWidth="1"/>
    <col min="2566" max="2566" width="31.44140625" style="169" customWidth="1"/>
    <col min="2567" max="2567" width="30.5546875" style="169" customWidth="1"/>
    <col min="2568" max="2568" width="27.33203125" style="169" customWidth="1"/>
    <col min="2569" max="2569" width="32.5546875" style="169" customWidth="1"/>
    <col min="2570" max="2570" width="30.44140625" style="169" customWidth="1"/>
    <col min="2571" max="2571" width="24.33203125" style="169" customWidth="1"/>
    <col min="2572" max="2572" width="28" style="169" customWidth="1"/>
    <col min="2573" max="2573" width="19.44140625" style="169" customWidth="1"/>
    <col min="2574" max="2810" width="9.33203125" style="169"/>
    <col min="2811" max="2811" width="14.5546875" style="169" customWidth="1"/>
    <col min="2812" max="2812" width="14.44140625" style="169" customWidth="1"/>
    <col min="2813" max="2813" width="58.33203125" style="169" customWidth="1"/>
    <col min="2814" max="2814" width="30.44140625" style="169" customWidth="1"/>
    <col min="2815" max="2815" width="27.33203125" style="169" customWidth="1"/>
    <col min="2816" max="2816" width="30.6640625" style="169" customWidth="1"/>
    <col min="2817" max="2817" width="24.6640625" style="169" customWidth="1"/>
    <col min="2818" max="2818" width="27.33203125" style="169" customWidth="1"/>
    <col min="2819" max="2819" width="32" style="169" customWidth="1"/>
    <col min="2820" max="2820" width="25.5546875" style="169" customWidth="1"/>
    <col min="2821" max="2821" width="27.33203125" style="169" customWidth="1"/>
    <col min="2822" max="2822" width="31.44140625" style="169" customWidth="1"/>
    <col min="2823" max="2823" width="30.5546875" style="169" customWidth="1"/>
    <col min="2824" max="2824" width="27.33203125" style="169" customWidth="1"/>
    <col min="2825" max="2825" width="32.5546875" style="169" customWidth="1"/>
    <col min="2826" max="2826" width="30.44140625" style="169" customWidth="1"/>
    <col min="2827" max="2827" width="24.33203125" style="169" customWidth="1"/>
    <col min="2828" max="2828" width="28" style="169" customWidth="1"/>
    <col min="2829" max="2829" width="19.44140625" style="169" customWidth="1"/>
    <col min="2830" max="3066" width="9.33203125" style="169"/>
    <col min="3067" max="3067" width="14.5546875" style="169" customWidth="1"/>
    <col min="3068" max="3068" width="14.44140625" style="169" customWidth="1"/>
    <col min="3069" max="3069" width="58.33203125" style="169" customWidth="1"/>
    <col min="3070" max="3070" width="30.44140625" style="169" customWidth="1"/>
    <col min="3071" max="3071" width="27.33203125" style="169" customWidth="1"/>
    <col min="3072" max="3072" width="30.6640625" style="169" customWidth="1"/>
    <col min="3073" max="3073" width="24.6640625" style="169" customWidth="1"/>
    <col min="3074" max="3074" width="27.33203125" style="169" customWidth="1"/>
    <col min="3075" max="3075" width="32" style="169" customWidth="1"/>
    <col min="3076" max="3076" width="25.5546875" style="169" customWidth="1"/>
    <col min="3077" max="3077" width="27.33203125" style="169" customWidth="1"/>
    <col min="3078" max="3078" width="31.44140625" style="169" customWidth="1"/>
    <col min="3079" max="3079" width="30.5546875" style="169" customWidth="1"/>
    <col min="3080" max="3080" width="27.33203125" style="169" customWidth="1"/>
    <col min="3081" max="3081" width="32.5546875" style="169" customWidth="1"/>
    <col min="3082" max="3082" width="30.44140625" style="169" customWidth="1"/>
    <col min="3083" max="3083" width="24.33203125" style="169" customWidth="1"/>
    <col min="3084" max="3084" width="28" style="169" customWidth="1"/>
    <col min="3085" max="3085" width="19.44140625" style="169" customWidth="1"/>
    <col min="3086" max="3322" width="9.33203125" style="169"/>
    <col min="3323" max="3323" width="14.5546875" style="169" customWidth="1"/>
    <col min="3324" max="3324" width="14.44140625" style="169" customWidth="1"/>
    <col min="3325" max="3325" width="58.33203125" style="169" customWidth="1"/>
    <col min="3326" max="3326" width="30.44140625" style="169" customWidth="1"/>
    <col min="3327" max="3327" width="27.33203125" style="169" customWidth="1"/>
    <col min="3328" max="3328" width="30.6640625" style="169" customWidth="1"/>
    <col min="3329" max="3329" width="24.6640625" style="169" customWidth="1"/>
    <col min="3330" max="3330" width="27.33203125" style="169" customWidth="1"/>
    <col min="3331" max="3331" width="32" style="169" customWidth="1"/>
    <col min="3332" max="3332" width="25.5546875" style="169" customWidth="1"/>
    <col min="3333" max="3333" width="27.33203125" style="169" customWidth="1"/>
    <col min="3334" max="3334" width="31.44140625" style="169" customWidth="1"/>
    <col min="3335" max="3335" width="30.5546875" style="169" customWidth="1"/>
    <col min="3336" max="3336" width="27.33203125" style="169" customWidth="1"/>
    <col min="3337" max="3337" width="32.5546875" style="169" customWidth="1"/>
    <col min="3338" max="3338" width="30.44140625" style="169" customWidth="1"/>
    <col min="3339" max="3339" width="24.33203125" style="169" customWidth="1"/>
    <col min="3340" max="3340" width="28" style="169" customWidth="1"/>
    <col min="3341" max="3341" width="19.44140625" style="169" customWidth="1"/>
    <col min="3342" max="3578" width="9.33203125" style="169"/>
    <col min="3579" max="3579" width="14.5546875" style="169" customWidth="1"/>
    <col min="3580" max="3580" width="14.44140625" style="169" customWidth="1"/>
    <col min="3581" max="3581" width="58.33203125" style="169" customWidth="1"/>
    <col min="3582" max="3582" width="30.44140625" style="169" customWidth="1"/>
    <col min="3583" max="3583" width="27.33203125" style="169" customWidth="1"/>
    <col min="3584" max="3584" width="30.6640625" style="169" customWidth="1"/>
    <col min="3585" max="3585" width="24.6640625" style="169" customWidth="1"/>
    <col min="3586" max="3586" width="27.33203125" style="169" customWidth="1"/>
    <col min="3587" max="3587" width="32" style="169" customWidth="1"/>
    <col min="3588" max="3588" width="25.5546875" style="169" customWidth="1"/>
    <col min="3589" max="3589" width="27.33203125" style="169" customWidth="1"/>
    <col min="3590" max="3590" width="31.44140625" style="169" customWidth="1"/>
    <col min="3591" max="3591" width="30.5546875" style="169" customWidth="1"/>
    <col min="3592" max="3592" width="27.33203125" style="169" customWidth="1"/>
    <col min="3593" max="3593" width="32.5546875" style="169" customWidth="1"/>
    <col min="3594" max="3594" width="30.44140625" style="169" customWidth="1"/>
    <col min="3595" max="3595" width="24.33203125" style="169" customWidth="1"/>
    <col min="3596" max="3596" width="28" style="169" customWidth="1"/>
    <col min="3597" max="3597" width="19.44140625" style="169" customWidth="1"/>
    <col min="3598" max="3834" width="9.33203125" style="169"/>
    <col min="3835" max="3835" width="14.5546875" style="169" customWidth="1"/>
    <col min="3836" max="3836" width="14.44140625" style="169" customWidth="1"/>
    <col min="3837" max="3837" width="58.33203125" style="169" customWidth="1"/>
    <col min="3838" max="3838" width="30.44140625" style="169" customWidth="1"/>
    <col min="3839" max="3839" width="27.33203125" style="169" customWidth="1"/>
    <col min="3840" max="3840" width="30.6640625" style="169" customWidth="1"/>
    <col min="3841" max="3841" width="24.6640625" style="169" customWidth="1"/>
    <col min="3842" max="3842" width="27.33203125" style="169" customWidth="1"/>
    <col min="3843" max="3843" width="32" style="169" customWidth="1"/>
    <col min="3844" max="3844" width="25.5546875" style="169" customWidth="1"/>
    <col min="3845" max="3845" width="27.33203125" style="169" customWidth="1"/>
    <col min="3846" max="3846" width="31.44140625" style="169" customWidth="1"/>
    <col min="3847" max="3847" width="30.5546875" style="169" customWidth="1"/>
    <col min="3848" max="3848" width="27.33203125" style="169" customWidth="1"/>
    <col min="3849" max="3849" width="32.5546875" style="169" customWidth="1"/>
    <col min="3850" max="3850" width="30.44140625" style="169" customWidth="1"/>
    <col min="3851" max="3851" width="24.33203125" style="169" customWidth="1"/>
    <col min="3852" max="3852" width="28" style="169" customWidth="1"/>
    <col min="3853" max="3853" width="19.44140625" style="169" customWidth="1"/>
    <col min="3854" max="4090" width="9.33203125" style="169"/>
    <col min="4091" max="4091" width="14.5546875" style="169" customWidth="1"/>
    <col min="4092" max="4092" width="14.44140625" style="169" customWidth="1"/>
    <col min="4093" max="4093" width="58.33203125" style="169" customWidth="1"/>
    <col min="4094" max="4094" width="30.44140625" style="169" customWidth="1"/>
    <col min="4095" max="4095" width="27.33203125" style="169" customWidth="1"/>
    <col min="4096" max="4096" width="30.6640625" style="169" customWidth="1"/>
    <col min="4097" max="4097" width="24.6640625" style="169" customWidth="1"/>
    <col min="4098" max="4098" width="27.33203125" style="169" customWidth="1"/>
    <col min="4099" max="4099" width="32" style="169" customWidth="1"/>
    <col min="4100" max="4100" width="25.5546875" style="169" customWidth="1"/>
    <col min="4101" max="4101" width="27.33203125" style="169" customWidth="1"/>
    <col min="4102" max="4102" width="31.44140625" style="169" customWidth="1"/>
    <col min="4103" max="4103" width="30.5546875" style="169" customWidth="1"/>
    <col min="4104" max="4104" width="27.33203125" style="169" customWidth="1"/>
    <col min="4105" max="4105" width="32.5546875" style="169" customWidth="1"/>
    <col min="4106" max="4106" width="30.44140625" style="169" customWidth="1"/>
    <col min="4107" max="4107" width="24.33203125" style="169" customWidth="1"/>
    <col min="4108" max="4108" width="28" style="169" customWidth="1"/>
    <col min="4109" max="4109" width="19.44140625" style="169" customWidth="1"/>
    <col min="4110" max="4346" width="9.33203125" style="169"/>
    <col min="4347" max="4347" width="14.5546875" style="169" customWidth="1"/>
    <col min="4348" max="4348" width="14.44140625" style="169" customWidth="1"/>
    <col min="4349" max="4349" width="58.33203125" style="169" customWidth="1"/>
    <col min="4350" max="4350" width="30.44140625" style="169" customWidth="1"/>
    <col min="4351" max="4351" width="27.33203125" style="169" customWidth="1"/>
    <col min="4352" max="4352" width="30.6640625" style="169" customWidth="1"/>
    <col min="4353" max="4353" width="24.6640625" style="169" customWidth="1"/>
    <col min="4354" max="4354" width="27.33203125" style="169" customWidth="1"/>
    <col min="4355" max="4355" width="32" style="169" customWidth="1"/>
    <col min="4356" max="4356" width="25.5546875" style="169" customWidth="1"/>
    <col min="4357" max="4357" width="27.33203125" style="169" customWidth="1"/>
    <col min="4358" max="4358" width="31.44140625" style="169" customWidth="1"/>
    <col min="4359" max="4359" width="30.5546875" style="169" customWidth="1"/>
    <col min="4360" max="4360" width="27.33203125" style="169" customWidth="1"/>
    <col min="4361" max="4361" width="32.5546875" style="169" customWidth="1"/>
    <col min="4362" max="4362" width="30.44140625" style="169" customWidth="1"/>
    <col min="4363" max="4363" width="24.33203125" style="169" customWidth="1"/>
    <col min="4364" max="4364" width="28" style="169" customWidth="1"/>
    <col min="4365" max="4365" width="19.44140625" style="169" customWidth="1"/>
    <col min="4366" max="4602" width="9.33203125" style="169"/>
    <col min="4603" max="4603" width="14.5546875" style="169" customWidth="1"/>
    <col min="4604" max="4604" width="14.44140625" style="169" customWidth="1"/>
    <col min="4605" max="4605" width="58.33203125" style="169" customWidth="1"/>
    <col min="4606" max="4606" width="30.44140625" style="169" customWidth="1"/>
    <col min="4607" max="4607" width="27.33203125" style="169" customWidth="1"/>
    <col min="4608" max="4608" width="30.6640625" style="169" customWidth="1"/>
    <col min="4609" max="4609" width="24.6640625" style="169" customWidth="1"/>
    <col min="4610" max="4610" width="27.33203125" style="169" customWidth="1"/>
    <col min="4611" max="4611" width="32" style="169" customWidth="1"/>
    <col min="4612" max="4612" width="25.5546875" style="169" customWidth="1"/>
    <col min="4613" max="4613" width="27.33203125" style="169" customWidth="1"/>
    <col min="4614" max="4614" width="31.44140625" style="169" customWidth="1"/>
    <col min="4615" max="4615" width="30.5546875" style="169" customWidth="1"/>
    <col min="4616" max="4616" width="27.33203125" style="169" customWidth="1"/>
    <col min="4617" max="4617" width="32.5546875" style="169" customWidth="1"/>
    <col min="4618" max="4618" width="30.44140625" style="169" customWidth="1"/>
    <col min="4619" max="4619" width="24.33203125" style="169" customWidth="1"/>
    <col min="4620" max="4620" width="28" style="169" customWidth="1"/>
    <col min="4621" max="4621" width="19.44140625" style="169" customWidth="1"/>
    <col min="4622" max="4858" width="9.33203125" style="169"/>
    <col min="4859" max="4859" width="14.5546875" style="169" customWidth="1"/>
    <col min="4860" max="4860" width="14.44140625" style="169" customWidth="1"/>
    <col min="4861" max="4861" width="58.33203125" style="169" customWidth="1"/>
    <col min="4862" max="4862" width="30.44140625" style="169" customWidth="1"/>
    <col min="4863" max="4863" width="27.33203125" style="169" customWidth="1"/>
    <col min="4864" max="4864" width="30.6640625" style="169" customWidth="1"/>
    <col min="4865" max="4865" width="24.6640625" style="169" customWidth="1"/>
    <col min="4866" max="4866" width="27.33203125" style="169" customWidth="1"/>
    <col min="4867" max="4867" width="32" style="169" customWidth="1"/>
    <col min="4868" max="4868" width="25.5546875" style="169" customWidth="1"/>
    <col min="4869" max="4869" width="27.33203125" style="169" customWidth="1"/>
    <col min="4870" max="4870" width="31.44140625" style="169" customWidth="1"/>
    <col min="4871" max="4871" width="30.5546875" style="169" customWidth="1"/>
    <col min="4872" max="4872" width="27.33203125" style="169" customWidth="1"/>
    <col min="4873" max="4873" width="32.5546875" style="169" customWidth="1"/>
    <col min="4874" max="4874" width="30.44140625" style="169" customWidth="1"/>
    <col min="4875" max="4875" width="24.33203125" style="169" customWidth="1"/>
    <col min="4876" max="4876" width="28" style="169" customWidth="1"/>
    <col min="4877" max="4877" width="19.44140625" style="169" customWidth="1"/>
    <col min="4878" max="5114" width="9.33203125" style="169"/>
    <col min="5115" max="5115" width="14.5546875" style="169" customWidth="1"/>
    <col min="5116" max="5116" width="14.44140625" style="169" customWidth="1"/>
    <col min="5117" max="5117" width="58.33203125" style="169" customWidth="1"/>
    <col min="5118" max="5118" width="30.44140625" style="169" customWidth="1"/>
    <col min="5119" max="5119" width="27.33203125" style="169" customWidth="1"/>
    <col min="5120" max="5120" width="30.6640625" style="169" customWidth="1"/>
    <col min="5121" max="5121" width="24.6640625" style="169" customWidth="1"/>
    <col min="5122" max="5122" width="27.33203125" style="169" customWidth="1"/>
    <col min="5123" max="5123" width="32" style="169" customWidth="1"/>
    <col min="5124" max="5124" width="25.5546875" style="169" customWidth="1"/>
    <col min="5125" max="5125" width="27.33203125" style="169" customWidth="1"/>
    <col min="5126" max="5126" width="31.44140625" style="169" customWidth="1"/>
    <col min="5127" max="5127" width="30.5546875" style="169" customWidth="1"/>
    <col min="5128" max="5128" width="27.33203125" style="169" customWidth="1"/>
    <col min="5129" max="5129" width="32.5546875" style="169" customWidth="1"/>
    <col min="5130" max="5130" width="30.44140625" style="169" customWidth="1"/>
    <col min="5131" max="5131" width="24.33203125" style="169" customWidth="1"/>
    <col min="5132" max="5132" width="28" style="169" customWidth="1"/>
    <col min="5133" max="5133" width="19.44140625" style="169" customWidth="1"/>
    <col min="5134" max="5370" width="9.33203125" style="169"/>
    <col min="5371" max="5371" width="14.5546875" style="169" customWidth="1"/>
    <col min="5372" max="5372" width="14.44140625" style="169" customWidth="1"/>
    <col min="5373" max="5373" width="58.33203125" style="169" customWidth="1"/>
    <col min="5374" max="5374" width="30.44140625" style="169" customWidth="1"/>
    <col min="5375" max="5375" width="27.33203125" style="169" customWidth="1"/>
    <col min="5376" max="5376" width="30.6640625" style="169" customWidth="1"/>
    <col min="5377" max="5377" width="24.6640625" style="169" customWidth="1"/>
    <col min="5378" max="5378" width="27.33203125" style="169" customWidth="1"/>
    <col min="5379" max="5379" width="32" style="169" customWidth="1"/>
    <col min="5380" max="5380" width="25.5546875" style="169" customWidth="1"/>
    <col min="5381" max="5381" width="27.33203125" style="169" customWidth="1"/>
    <col min="5382" max="5382" width="31.44140625" style="169" customWidth="1"/>
    <col min="5383" max="5383" width="30.5546875" style="169" customWidth="1"/>
    <col min="5384" max="5384" width="27.33203125" style="169" customWidth="1"/>
    <col min="5385" max="5385" width="32.5546875" style="169" customWidth="1"/>
    <col min="5386" max="5386" width="30.44140625" style="169" customWidth="1"/>
    <col min="5387" max="5387" width="24.33203125" style="169" customWidth="1"/>
    <col min="5388" max="5388" width="28" style="169" customWidth="1"/>
    <col min="5389" max="5389" width="19.44140625" style="169" customWidth="1"/>
    <col min="5390" max="5626" width="9.33203125" style="169"/>
    <col min="5627" max="5627" width="14.5546875" style="169" customWidth="1"/>
    <col min="5628" max="5628" width="14.44140625" style="169" customWidth="1"/>
    <col min="5629" max="5629" width="58.33203125" style="169" customWidth="1"/>
    <col min="5630" max="5630" width="30.44140625" style="169" customWidth="1"/>
    <col min="5631" max="5631" width="27.33203125" style="169" customWidth="1"/>
    <col min="5632" max="5632" width="30.6640625" style="169" customWidth="1"/>
    <col min="5633" max="5633" width="24.6640625" style="169" customWidth="1"/>
    <col min="5634" max="5634" width="27.33203125" style="169" customWidth="1"/>
    <col min="5635" max="5635" width="32" style="169" customWidth="1"/>
    <col min="5636" max="5636" width="25.5546875" style="169" customWidth="1"/>
    <col min="5637" max="5637" width="27.33203125" style="169" customWidth="1"/>
    <col min="5638" max="5638" width="31.44140625" style="169" customWidth="1"/>
    <col min="5639" max="5639" width="30.5546875" style="169" customWidth="1"/>
    <col min="5640" max="5640" width="27.33203125" style="169" customWidth="1"/>
    <col min="5641" max="5641" width="32.5546875" style="169" customWidth="1"/>
    <col min="5642" max="5642" width="30.44140625" style="169" customWidth="1"/>
    <col min="5643" max="5643" width="24.33203125" style="169" customWidth="1"/>
    <col min="5644" max="5644" width="28" style="169" customWidth="1"/>
    <col min="5645" max="5645" width="19.44140625" style="169" customWidth="1"/>
    <col min="5646" max="5882" width="9.33203125" style="169"/>
    <col min="5883" max="5883" width="14.5546875" style="169" customWidth="1"/>
    <col min="5884" max="5884" width="14.44140625" style="169" customWidth="1"/>
    <col min="5885" max="5885" width="58.33203125" style="169" customWidth="1"/>
    <col min="5886" max="5886" width="30.44140625" style="169" customWidth="1"/>
    <col min="5887" max="5887" width="27.33203125" style="169" customWidth="1"/>
    <col min="5888" max="5888" width="30.6640625" style="169" customWidth="1"/>
    <col min="5889" max="5889" width="24.6640625" style="169" customWidth="1"/>
    <col min="5890" max="5890" width="27.33203125" style="169" customWidth="1"/>
    <col min="5891" max="5891" width="32" style="169" customWidth="1"/>
    <col min="5892" max="5892" width="25.5546875" style="169" customWidth="1"/>
    <col min="5893" max="5893" width="27.33203125" style="169" customWidth="1"/>
    <col min="5894" max="5894" width="31.44140625" style="169" customWidth="1"/>
    <col min="5895" max="5895" width="30.5546875" style="169" customWidth="1"/>
    <col min="5896" max="5896" width="27.33203125" style="169" customWidth="1"/>
    <col min="5897" max="5897" width="32.5546875" style="169" customWidth="1"/>
    <col min="5898" max="5898" width="30.44140625" style="169" customWidth="1"/>
    <col min="5899" max="5899" width="24.33203125" style="169" customWidth="1"/>
    <col min="5900" max="5900" width="28" style="169" customWidth="1"/>
    <col min="5901" max="5901" width="19.44140625" style="169" customWidth="1"/>
    <col min="5902" max="6138" width="9.33203125" style="169"/>
    <col min="6139" max="6139" width="14.5546875" style="169" customWidth="1"/>
    <col min="6140" max="6140" width="14.44140625" style="169" customWidth="1"/>
    <col min="6141" max="6141" width="58.33203125" style="169" customWidth="1"/>
    <col min="6142" max="6142" width="30.44140625" style="169" customWidth="1"/>
    <col min="6143" max="6143" width="27.33203125" style="169" customWidth="1"/>
    <col min="6144" max="6144" width="30.6640625" style="169" customWidth="1"/>
    <col min="6145" max="6145" width="24.6640625" style="169" customWidth="1"/>
    <col min="6146" max="6146" width="27.33203125" style="169" customWidth="1"/>
    <col min="6147" max="6147" width="32" style="169" customWidth="1"/>
    <col min="6148" max="6148" width="25.5546875" style="169" customWidth="1"/>
    <col min="6149" max="6149" width="27.33203125" style="169" customWidth="1"/>
    <col min="6150" max="6150" width="31.44140625" style="169" customWidth="1"/>
    <col min="6151" max="6151" width="30.5546875" style="169" customWidth="1"/>
    <col min="6152" max="6152" width="27.33203125" style="169" customWidth="1"/>
    <col min="6153" max="6153" width="32.5546875" style="169" customWidth="1"/>
    <col min="6154" max="6154" width="30.44140625" style="169" customWidth="1"/>
    <col min="6155" max="6155" width="24.33203125" style="169" customWidth="1"/>
    <col min="6156" max="6156" width="28" style="169" customWidth="1"/>
    <col min="6157" max="6157" width="19.44140625" style="169" customWidth="1"/>
    <col min="6158" max="6394" width="9.33203125" style="169"/>
    <col min="6395" max="6395" width="14.5546875" style="169" customWidth="1"/>
    <col min="6396" max="6396" width="14.44140625" style="169" customWidth="1"/>
    <col min="6397" max="6397" width="58.33203125" style="169" customWidth="1"/>
    <col min="6398" max="6398" width="30.44140625" style="169" customWidth="1"/>
    <col min="6399" max="6399" width="27.33203125" style="169" customWidth="1"/>
    <col min="6400" max="6400" width="30.6640625" style="169" customWidth="1"/>
    <col min="6401" max="6401" width="24.6640625" style="169" customWidth="1"/>
    <col min="6402" max="6402" width="27.33203125" style="169" customWidth="1"/>
    <col min="6403" max="6403" width="32" style="169" customWidth="1"/>
    <col min="6404" max="6404" width="25.5546875" style="169" customWidth="1"/>
    <col min="6405" max="6405" width="27.33203125" style="169" customWidth="1"/>
    <col min="6406" max="6406" width="31.44140625" style="169" customWidth="1"/>
    <col min="6407" max="6407" width="30.5546875" style="169" customWidth="1"/>
    <col min="6408" max="6408" width="27.33203125" style="169" customWidth="1"/>
    <col min="6409" max="6409" width="32.5546875" style="169" customWidth="1"/>
    <col min="6410" max="6410" width="30.44140625" style="169" customWidth="1"/>
    <col min="6411" max="6411" width="24.33203125" style="169" customWidth="1"/>
    <col min="6412" max="6412" width="28" style="169" customWidth="1"/>
    <col min="6413" max="6413" width="19.44140625" style="169" customWidth="1"/>
    <col min="6414" max="6650" width="9.33203125" style="169"/>
    <col min="6651" max="6651" width="14.5546875" style="169" customWidth="1"/>
    <col min="6652" max="6652" width="14.44140625" style="169" customWidth="1"/>
    <col min="6653" max="6653" width="58.33203125" style="169" customWidth="1"/>
    <col min="6654" max="6654" width="30.44140625" style="169" customWidth="1"/>
    <col min="6655" max="6655" width="27.33203125" style="169" customWidth="1"/>
    <col min="6656" max="6656" width="30.6640625" style="169" customWidth="1"/>
    <col min="6657" max="6657" width="24.6640625" style="169" customWidth="1"/>
    <col min="6658" max="6658" width="27.33203125" style="169" customWidth="1"/>
    <col min="6659" max="6659" width="32" style="169" customWidth="1"/>
    <col min="6660" max="6660" width="25.5546875" style="169" customWidth="1"/>
    <col min="6661" max="6661" width="27.33203125" style="169" customWidth="1"/>
    <col min="6662" max="6662" width="31.44140625" style="169" customWidth="1"/>
    <col min="6663" max="6663" width="30.5546875" style="169" customWidth="1"/>
    <col min="6664" max="6664" width="27.33203125" style="169" customWidth="1"/>
    <col min="6665" max="6665" width="32.5546875" style="169" customWidth="1"/>
    <col min="6666" max="6666" width="30.44140625" style="169" customWidth="1"/>
    <col min="6667" max="6667" width="24.33203125" style="169" customWidth="1"/>
    <col min="6668" max="6668" width="28" style="169" customWidth="1"/>
    <col min="6669" max="6669" width="19.44140625" style="169" customWidth="1"/>
    <col min="6670" max="6906" width="9.33203125" style="169"/>
    <col min="6907" max="6907" width="14.5546875" style="169" customWidth="1"/>
    <col min="6908" max="6908" width="14.44140625" style="169" customWidth="1"/>
    <col min="6909" max="6909" width="58.33203125" style="169" customWidth="1"/>
    <col min="6910" max="6910" width="30.44140625" style="169" customWidth="1"/>
    <col min="6911" max="6911" width="27.33203125" style="169" customWidth="1"/>
    <col min="6912" max="6912" width="30.6640625" style="169" customWidth="1"/>
    <col min="6913" max="6913" width="24.6640625" style="169" customWidth="1"/>
    <col min="6914" max="6914" width="27.33203125" style="169" customWidth="1"/>
    <col min="6915" max="6915" width="32" style="169" customWidth="1"/>
    <col min="6916" max="6916" width="25.5546875" style="169" customWidth="1"/>
    <col min="6917" max="6917" width="27.33203125" style="169" customWidth="1"/>
    <col min="6918" max="6918" width="31.44140625" style="169" customWidth="1"/>
    <col min="6919" max="6919" width="30.5546875" style="169" customWidth="1"/>
    <col min="6920" max="6920" width="27.33203125" style="169" customWidth="1"/>
    <col min="6921" max="6921" width="32.5546875" style="169" customWidth="1"/>
    <col min="6922" max="6922" width="30.44140625" style="169" customWidth="1"/>
    <col min="6923" max="6923" width="24.33203125" style="169" customWidth="1"/>
    <col min="6924" max="6924" width="28" style="169" customWidth="1"/>
    <col min="6925" max="6925" width="19.44140625" style="169" customWidth="1"/>
    <col min="6926" max="7162" width="9.33203125" style="169"/>
    <col min="7163" max="7163" width="14.5546875" style="169" customWidth="1"/>
    <col min="7164" max="7164" width="14.44140625" style="169" customWidth="1"/>
    <col min="7165" max="7165" width="58.33203125" style="169" customWidth="1"/>
    <col min="7166" max="7166" width="30.44140625" style="169" customWidth="1"/>
    <col min="7167" max="7167" width="27.33203125" style="169" customWidth="1"/>
    <col min="7168" max="7168" width="30.6640625" style="169" customWidth="1"/>
    <col min="7169" max="7169" width="24.6640625" style="169" customWidth="1"/>
    <col min="7170" max="7170" width="27.33203125" style="169" customWidth="1"/>
    <col min="7171" max="7171" width="32" style="169" customWidth="1"/>
    <col min="7172" max="7172" width="25.5546875" style="169" customWidth="1"/>
    <col min="7173" max="7173" width="27.33203125" style="169" customWidth="1"/>
    <col min="7174" max="7174" width="31.44140625" style="169" customWidth="1"/>
    <col min="7175" max="7175" width="30.5546875" style="169" customWidth="1"/>
    <col min="7176" max="7176" width="27.33203125" style="169" customWidth="1"/>
    <col min="7177" max="7177" width="32.5546875" style="169" customWidth="1"/>
    <col min="7178" max="7178" width="30.44140625" style="169" customWidth="1"/>
    <col min="7179" max="7179" width="24.33203125" style="169" customWidth="1"/>
    <col min="7180" max="7180" width="28" style="169" customWidth="1"/>
    <col min="7181" max="7181" width="19.44140625" style="169" customWidth="1"/>
    <col min="7182" max="7418" width="9.33203125" style="169"/>
    <col min="7419" max="7419" width="14.5546875" style="169" customWidth="1"/>
    <col min="7420" max="7420" width="14.44140625" style="169" customWidth="1"/>
    <col min="7421" max="7421" width="58.33203125" style="169" customWidth="1"/>
    <col min="7422" max="7422" width="30.44140625" style="169" customWidth="1"/>
    <col min="7423" max="7423" width="27.33203125" style="169" customWidth="1"/>
    <col min="7424" max="7424" width="30.6640625" style="169" customWidth="1"/>
    <col min="7425" max="7425" width="24.6640625" style="169" customWidth="1"/>
    <col min="7426" max="7426" width="27.33203125" style="169" customWidth="1"/>
    <col min="7427" max="7427" width="32" style="169" customWidth="1"/>
    <col min="7428" max="7428" width="25.5546875" style="169" customWidth="1"/>
    <col min="7429" max="7429" width="27.33203125" style="169" customWidth="1"/>
    <col min="7430" max="7430" width="31.44140625" style="169" customWidth="1"/>
    <col min="7431" max="7431" width="30.5546875" style="169" customWidth="1"/>
    <col min="7432" max="7432" width="27.33203125" style="169" customWidth="1"/>
    <col min="7433" max="7433" width="32.5546875" style="169" customWidth="1"/>
    <col min="7434" max="7434" width="30.44140625" style="169" customWidth="1"/>
    <col min="7435" max="7435" width="24.33203125" style="169" customWidth="1"/>
    <col min="7436" max="7436" width="28" style="169" customWidth="1"/>
    <col min="7437" max="7437" width="19.44140625" style="169" customWidth="1"/>
    <col min="7438" max="7674" width="9.33203125" style="169"/>
    <col min="7675" max="7675" width="14.5546875" style="169" customWidth="1"/>
    <col min="7676" max="7676" width="14.44140625" style="169" customWidth="1"/>
    <col min="7677" max="7677" width="58.33203125" style="169" customWidth="1"/>
    <col min="7678" max="7678" width="30.44140625" style="169" customWidth="1"/>
    <col min="7679" max="7679" width="27.33203125" style="169" customWidth="1"/>
    <col min="7680" max="7680" width="30.6640625" style="169" customWidth="1"/>
    <col min="7681" max="7681" width="24.6640625" style="169" customWidth="1"/>
    <col min="7682" max="7682" width="27.33203125" style="169" customWidth="1"/>
    <col min="7683" max="7683" width="32" style="169" customWidth="1"/>
    <col min="7684" max="7684" width="25.5546875" style="169" customWidth="1"/>
    <col min="7685" max="7685" width="27.33203125" style="169" customWidth="1"/>
    <col min="7686" max="7686" width="31.44140625" style="169" customWidth="1"/>
    <col min="7687" max="7687" width="30.5546875" style="169" customWidth="1"/>
    <col min="7688" max="7688" width="27.33203125" style="169" customWidth="1"/>
    <col min="7689" max="7689" width="32.5546875" style="169" customWidth="1"/>
    <col min="7690" max="7690" width="30.44140625" style="169" customWidth="1"/>
    <col min="7691" max="7691" width="24.33203125" style="169" customWidth="1"/>
    <col min="7692" max="7692" width="28" style="169" customWidth="1"/>
    <col min="7693" max="7693" width="19.44140625" style="169" customWidth="1"/>
    <col min="7694" max="7930" width="9.33203125" style="169"/>
    <col min="7931" max="7931" width="14.5546875" style="169" customWidth="1"/>
    <col min="7932" max="7932" width="14.44140625" style="169" customWidth="1"/>
    <col min="7933" max="7933" width="58.33203125" style="169" customWidth="1"/>
    <col min="7934" max="7934" width="30.44140625" style="169" customWidth="1"/>
    <col min="7935" max="7935" width="27.33203125" style="169" customWidth="1"/>
    <col min="7936" max="7936" width="30.6640625" style="169" customWidth="1"/>
    <col min="7937" max="7937" width="24.6640625" style="169" customWidth="1"/>
    <col min="7938" max="7938" width="27.33203125" style="169" customWidth="1"/>
    <col min="7939" max="7939" width="32" style="169" customWidth="1"/>
    <col min="7940" max="7940" width="25.5546875" style="169" customWidth="1"/>
    <col min="7941" max="7941" width="27.33203125" style="169" customWidth="1"/>
    <col min="7942" max="7942" width="31.44140625" style="169" customWidth="1"/>
    <col min="7943" max="7943" width="30.5546875" style="169" customWidth="1"/>
    <col min="7944" max="7944" width="27.33203125" style="169" customWidth="1"/>
    <col min="7945" max="7945" width="32.5546875" style="169" customWidth="1"/>
    <col min="7946" max="7946" width="30.44140625" style="169" customWidth="1"/>
    <col min="7947" max="7947" width="24.33203125" style="169" customWidth="1"/>
    <col min="7948" max="7948" width="28" style="169" customWidth="1"/>
    <col min="7949" max="7949" width="19.44140625" style="169" customWidth="1"/>
    <col min="7950" max="8186" width="9.33203125" style="169"/>
    <col min="8187" max="8187" width="14.5546875" style="169" customWidth="1"/>
    <col min="8188" max="8188" width="14.44140625" style="169" customWidth="1"/>
    <col min="8189" max="8189" width="58.33203125" style="169" customWidth="1"/>
    <col min="8190" max="8190" width="30.44140625" style="169" customWidth="1"/>
    <col min="8191" max="8191" width="27.33203125" style="169" customWidth="1"/>
    <col min="8192" max="8192" width="30.6640625" style="169" customWidth="1"/>
    <col min="8193" max="8193" width="24.6640625" style="169" customWidth="1"/>
    <col min="8194" max="8194" width="27.33203125" style="169" customWidth="1"/>
    <col min="8195" max="8195" width="32" style="169" customWidth="1"/>
    <col min="8196" max="8196" width="25.5546875" style="169" customWidth="1"/>
    <col min="8197" max="8197" width="27.33203125" style="169" customWidth="1"/>
    <col min="8198" max="8198" width="31.44140625" style="169" customWidth="1"/>
    <col min="8199" max="8199" width="30.5546875" style="169" customWidth="1"/>
    <col min="8200" max="8200" width="27.33203125" style="169" customWidth="1"/>
    <col min="8201" max="8201" width="32.5546875" style="169" customWidth="1"/>
    <col min="8202" max="8202" width="30.44140625" style="169" customWidth="1"/>
    <col min="8203" max="8203" width="24.33203125" style="169" customWidth="1"/>
    <col min="8204" max="8204" width="28" style="169" customWidth="1"/>
    <col min="8205" max="8205" width="19.44140625" style="169" customWidth="1"/>
    <col min="8206" max="8442" width="9.33203125" style="169"/>
    <col min="8443" max="8443" width="14.5546875" style="169" customWidth="1"/>
    <col min="8444" max="8444" width="14.44140625" style="169" customWidth="1"/>
    <col min="8445" max="8445" width="58.33203125" style="169" customWidth="1"/>
    <col min="8446" max="8446" width="30.44140625" style="169" customWidth="1"/>
    <col min="8447" max="8447" width="27.33203125" style="169" customWidth="1"/>
    <col min="8448" max="8448" width="30.6640625" style="169" customWidth="1"/>
    <col min="8449" max="8449" width="24.6640625" style="169" customWidth="1"/>
    <col min="8450" max="8450" width="27.33203125" style="169" customWidth="1"/>
    <col min="8451" max="8451" width="32" style="169" customWidth="1"/>
    <col min="8452" max="8452" width="25.5546875" style="169" customWidth="1"/>
    <col min="8453" max="8453" width="27.33203125" style="169" customWidth="1"/>
    <col min="8454" max="8454" width="31.44140625" style="169" customWidth="1"/>
    <col min="8455" max="8455" width="30.5546875" style="169" customWidth="1"/>
    <col min="8456" max="8456" width="27.33203125" style="169" customWidth="1"/>
    <col min="8457" max="8457" width="32.5546875" style="169" customWidth="1"/>
    <col min="8458" max="8458" width="30.44140625" style="169" customWidth="1"/>
    <col min="8459" max="8459" width="24.33203125" style="169" customWidth="1"/>
    <col min="8460" max="8460" width="28" style="169" customWidth="1"/>
    <col min="8461" max="8461" width="19.44140625" style="169" customWidth="1"/>
    <col min="8462" max="8698" width="9.33203125" style="169"/>
    <col min="8699" max="8699" width="14.5546875" style="169" customWidth="1"/>
    <col min="8700" max="8700" width="14.44140625" style="169" customWidth="1"/>
    <col min="8701" max="8701" width="58.33203125" style="169" customWidth="1"/>
    <col min="8702" max="8702" width="30.44140625" style="169" customWidth="1"/>
    <col min="8703" max="8703" width="27.33203125" style="169" customWidth="1"/>
    <col min="8704" max="8704" width="30.6640625" style="169" customWidth="1"/>
    <col min="8705" max="8705" width="24.6640625" style="169" customWidth="1"/>
    <col min="8706" max="8706" width="27.33203125" style="169" customWidth="1"/>
    <col min="8707" max="8707" width="32" style="169" customWidth="1"/>
    <col min="8708" max="8708" width="25.5546875" style="169" customWidth="1"/>
    <col min="8709" max="8709" width="27.33203125" style="169" customWidth="1"/>
    <col min="8710" max="8710" width="31.44140625" style="169" customWidth="1"/>
    <col min="8711" max="8711" width="30.5546875" style="169" customWidth="1"/>
    <col min="8712" max="8712" width="27.33203125" style="169" customWidth="1"/>
    <col min="8713" max="8713" width="32.5546875" style="169" customWidth="1"/>
    <col min="8714" max="8714" width="30.44140625" style="169" customWidth="1"/>
    <col min="8715" max="8715" width="24.33203125" style="169" customWidth="1"/>
    <col min="8716" max="8716" width="28" style="169" customWidth="1"/>
    <col min="8717" max="8717" width="19.44140625" style="169" customWidth="1"/>
    <col min="8718" max="8954" width="9.33203125" style="169"/>
    <col min="8955" max="8955" width="14.5546875" style="169" customWidth="1"/>
    <col min="8956" max="8956" width="14.44140625" style="169" customWidth="1"/>
    <col min="8957" max="8957" width="58.33203125" style="169" customWidth="1"/>
    <col min="8958" max="8958" width="30.44140625" style="169" customWidth="1"/>
    <col min="8959" max="8959" width="27.33203125" style="169" customWidth="1"/>
    <col min="8960" max="8960" width="30.6640625" style="169" customWidth="1"/>
    <col min="8961" max="8961" width="24.6640625" style="169" customWidth="1"/>
    <col min="8962" max="8962" width="27.33203125" style="169" customWidth="1"/>
    <col min="8963" max="8963" width="32" style="169" customWidth="1"/>
    <col min="8964" max="8964" width="25.5546875" style="169" customWidth="1"/>
    <col min="8965" max="8965" width="27.33203125" style="169" customWidth="1"/>
    <col min="8966" max="8966" width="31.44140625" style="169" customWidth="1"/>
    <col min="8967" max="8967" width="30.5546875" style="169" customWidth="1"/>
    <col min="8968" max="8968" width="27.33203125" style="169" customWidth="1"/>
    <col min="8969" max="8969" width="32.5546875" style="169" customWidth="1"/>
    <col min="8970" max="8970" width="30.44140625" style="169" customWidth="1"/>
    <col min="8971" max="8971" width="24.33203125" style="169" customWidth="1"/>
    <col min="8972" max="8972" width="28" style="169" customWidth="1"/>
    <col min="8973" max="8973" width="19.44140625" style="169" customWidth="1"/>
    <col min="8974" max="9210" width="9.33203125" style="169"/>
    <col min="9211" max="9211" width="14.5546875" style="169" customWidth="1"/>
    <col min="9212" max="9212" width="14.44140625" style="169" customWidth="1"/>
    <col min="9213" max="9213" width="58.33203125" style="169" customWidth="1"/>
    <col min="9214" max="9214" width="30.44140625" style="169" customWidth="1"/>
    <col min="9215" max="9215" width="27.33203125" style="169" customWidth="1"/>
    <col min="9216" max="9216" width="30.6640625" style="169" customWidth="1"/>
    <col min="9217" max="9217" width="24.6640625" style="169" customWidth="1"/>
    <col min="9218" max="9218" width="27.33203125" style="169" customWidth="1"/>
    <col min="9219" max="9219" width="32" style="169" customWidth="1"/>
    <col min="9220" max="9220" width="25.5546875" style="169" customWidth="1"/>
    <col min="9221" max="9221" width="27.33203125" style="169" customWidth="1"/>
    <col min="9222" max="9222" width="31.44140625" style="169" customWidth="1"/>
    <col min="9223" max="9223" width="30.5546875" style="169" customWidth="1"/>
    <col min="9224" max="9224" width="27.33203125" style="169" customWidth="1"/>
    <col min="9225" max="9225" width="32.5546875" style="169" customWidth="1"/>
    <col min="9226" max="9226" width="30.44140625" style="169" customWidth="1"/>
    <col min="9227" max="9227" width="24.33203125" style="169" customWidth="1"/>
    <col min="9228" max="9228" width="28" style="169" customWidth="1"/>
    <col min="9229" max="9229" width="19.44140625" style="169" customWidth="1"/>
    <col min="9230" max="9466" width="9.33203125" style="169"/>
    <col min="9467" max="9467" width="14.5546875" style="169" customWidth="1"/>
    <col min="9468" max="9468" width="14.44140625" style="169" customWidth="1"/>
    <col min="9469" max="9469" width="58.33203125" style="169" customWidth="1"/>
    <col min="9470" max="9470" width="30.44140625" style="169" customWidth="1"/>
    <col min="9471" max="9471" width="27.33203125" style="169" customWidth="1"/>
    <col min="9472" max="9472" width="30.6640625" style="169" customWidth="1"/>
    <col min="9473" max="9473" width="24.6640625" style="169" customWidth="1"/>
    <col min="9474" max="9474" width="27.33203125" style="169" customWidth="1"/>
    <col min="9475" max="9475" width="32" style="169" customWidth="1"/>
    <col min="9476" max="9476" width="25.5546875" style="169" customWidth="1"/>
    <col min="9477" max="9477" width="27.33203125" style="169" customWidth="1"/>
    <col min="9478" max="9478" width="31.44140625" style="169" customWidth="1"/>
    <col min="9479" max="9479" width="30.5546875" style="169" customWidth="1"/>
    <col min="9480" max="9480" width="27.33203125" style="169" customWidth="1"/>
    <col min="9481" max="9481" width="32.5546875" style="169" customWidth="1"/>
    <col min="9482" max="9482" width="30.44140625" style="169" customWidth="1"/>
    <col min="9483" max="9483" width="24.33203125" style="169" customWidth="1"/>
    <col min="9484" max="9484" width="28" style="169" customWidth="1"/>
    <col min="9485" max="9485" width="19.44140625" style="169" customWidth="1"/>
    <col min="9486" max="9722" width="9.33203125" style="169"/>
    <col min="9723" max="9723" width="14.5546875" style="169" customWidth="1"/>
    <col min="9724" max="9724" width="14.44140625" style="169" customWidth="1"/>
    <col min="9725" max="9725" width="58.33203125" style="169" customWidth="1"/>
    <col min="9726" max="9726" width="30.44140625" style="169" customWidth="1"/>
    <col min="9727" max="9727" width="27.33203125" style="169" customWidth="1"/>
    <col min="9728" max="9728" width="30.6640625" style="169" customWidth="1"/>
    <col min="9729" max="9729" width="24.6640625" style="169" customWidth="1"/>
    <col min="9730" max="9730" width="27.33203125" style="169" customWidth="1"/>
    <col min="9731" max="9731" width="32" style="169" customWidth="1"/>
    <col min="9732" max="9732" width="25.5546875" style="169" customWidth="1"/>
    <col min="9733" max="9733" width="27.33203125" style="169" customWidth="1"/>
    <col min="9734" max="9734" width="31.44140625" style="169" customWidth="1"/>
    <col min="9735" max="9735" width="30.5546875" style="169" customWidth="1"/>
    <col min="9736" max="9736" width="27.33203125" style="169" customWidth="1"/>
    <col min="9737" max="9737" width="32.5546875" style="169" customWidth="1"/>
    <col min="9738" max="9738" width="30.44140625" style="169" customWidth="1"/>
    <col min="9739" max="9739" width="24.33203125" style="169" customWidth="1"/>
    <col min="9740" max="9740" width="28" style="169" customWidth="1"/>
    <col min="9741" max="9741" width="19.44140625" style="169" customWidth="1"/>
    <col min="9742" max="9978" width="9.33203125" style="169"/>
    <col min="9979" max="9979" width="14.5546875" style="169" customWidth="1"/>
    <col min="9980" max="9980" width="14.44140625" style="169" customWidth="1"/>
    <col min="9981" max="9981" width="58.33203125" style="169" customWidth="1"/>
    <col min="9982" max="9982" width="30.44140625" style="169" customWidth="1"/>
    <col min="9983" max="9983" width="27.33203125" style="169" customWidth="1"/>
    <col min="9984" max="9984" width="30.6640625" style="169" customWidth="1"/>
    <col min="9985" max="9985" width="24.6640625" style="169" customWidth="1"/>
    <col min="9986" max="9986" width="27.33203125" style="169" customWidth="1"/>
    <col min="9987" max="9987" width="32" style="169" customWidth="1"/>
    <col min="9988" max="9988" width="25.5546875" style="169" customWidth="1"/>
    <col min="9989" max="9989" width="27.33203125" style="169" customWidth="1"/>
    <col min="9990" max="9990" width="31.44140625" style="169" customWidth="1"/>
    <col min="9991" max="9991" width="30.5546875" style="169" customWidth="1"/>
    <col min="9992" max="9992" width="27.33203125" style="169" customWidth="1"/>
    <col min="9993" max="9993" width="32.5546875" style="169" customWidth="1"/>
    <col min="9994" max="9994" width="30.44140625" style="169" customWidth="1"/>
    <col min="9995" max="9995" width="24.33203125" style="169" customWidth="1"/>
    <col min="9996" max="9996" width="28" style="169" customWidth="1"/>
    <col min="9997" max="9997" width="19.44140625" style="169" customWidth="1"/>
    <col min="9998" max="10234" width="9.33203125" style="169"/>
    <col min="10235" max="10235" width="14.5546875" style="169" customWidth="1"/>
    <col min="10236" max="10236" width="14.44140625" style="169" customWidth="1"/>
    <col min="10237" max="10237" width="58.33203125" style="169" customWidth="1"/>
    <col min="10238" max="10238" width="30.44140625" style="169" customWidth="1"/>
    <col min="10239" max="10239" width="27.33203125" style="169" customWidth="1"/>
    <col min="10240" max="10240" width="30.6640625" style="169" customWidth="1"/>
    <col min="10241" max="10241" width="24.6640625" style="169" customWidth="1"/>
    <col min="10242" max="10242" width="27.33203125" style="169" customWidth="1"/>
    <col min="10243" max="10243" width="32" style="169" customWidth="1"/>
    <col min="10244" max="10244" width="25.5546875" style="169" customWidth="1"/>
    <col min="10245" max="10245" width="27.33203125" style="169" customWidth="1"/>
    <col min="10246" max="10246" width="31.44140625" style="169" customWidth="1"/>
    <col min="10247" max="10247" width="30.5546875" style="169" customWidth="1"/>
    <col min="10248" max="10248" width="27.33203125" style="169" customWidth="1"/>
    <col min="10249" max="10249" width="32.5546875" style="169" customWidth="1"/>
    <col min="10250" max="10250" width="30.44140625" style="169" customWidth="1"/>
    <col min="10251" max="10251" width="24.33203125" style="169" customWidth="1"/>
    <col min="10252" max="10252" width="28" style="169" customWidth="1"/>
    <col min="10253" max="10253" width="19.44140625" style="169" customWidth="1"/>
    <col min="10254" max="10490" width="9.33203125" style="169"/>
    <col min="10491" max="10491" width="14.5546875" style="169" customWidth="1"/>
    <col min="10492" max="10492" width="14.44140625" style="169" customWidth="1"/>
    <col min="10493" max="10493" width="58.33203125" style="169" customWidth="1"/>
    <col min="10494" max="10494" width="30.44140625" style="169" customWidth="1"/>
    <col min="10495" max="10495" width="27.33203125" style="169" customWidth="1"/>
    <col min="10496" max="10496" width="30.6640625" style="169" customWidth="1"/>
    <col min="10497" max="10497" width="24.6640625" style="169" customWidth="1"/>
    <col min="10498" max="10498" width="27.33203125" style="169" customWidth="1"/>
    <col min="10499" max="10499" width="32" style="169" customWidth="1"/>
    <col min="10500" max="10500" width="25.5546875" style="169" customWidth="1"/>
    <col min="10501" max="10501" width="27.33203125" style="169" customWidth="1"/>
    <col min="10502" max="10502" width="31.44140625" style="169" customWidth="1"/>
    <col min="10503" max="10503" width="30.5546875" style="169" customWidth="1"/>
    <col min="10504" max="10504" width="27.33203125" style="169" customWidth="1"/>
    <col min="10505" max="10505" width="32.5546875" style="169" customWidth="1"/>
    <col min="10506" max="10506" width="30.44140625" style="169" customWidth="1"/>
    <col min="10507" max="10507" width="24.33203125" style="169" customWidth="1"/>
    <col min="10508" max="10508" width="28" style="169" customWidth="1"/>
    <col min="10509" max="10509" width="19.44140625" style="169" customWidth="1"/>
    <col min="10510" max="10746" width="9.33203125" style="169"/>
    <col min="10747" max="10747" width="14.5546875" style="169" customWidth="1"/>
    <col min="10748" max="10748" width="14.44140625" style="169" customWidth="1"/>
    <col min="10749" max="10749" width="58.33203125" style="169" customWidth="1"/>
    <col min="10750" max="10750" width="30.44140625" style="169" customWidth="1"/>
    <col min="10751" max="10751" width="27.33203125" style="169" customWidth="1"/>
    <col min="10752" max="10752" width="30.6640625" style="169" customWidth="1"/>
    <col min="10753" max="10753" width="24.6640625" style="169" customWidth="1"/>
    <col min="10754" max="10754" width="27.33203125" style="169" customWidth="1"/>
    <col min="10755" max="10755" width="32" style="169" customWidth="1"/>
    <col min="10756" max="10756" width="25.5546875" style="169" customWidth="1"/>
    <col min="10757" max="10757" width="27.33203125" style="169" customWidth="1"/>
    <col min="10758" max="10758" width="31.44140625" style="169" customWidth="1"/>
    <col min="10759" max="10759" width="30.5546875" style="169" customWidth="1"/>
    <col min="10760" max="10760" width="27.33203125" style="169" customWidth="1"/>
    <col min="10761" max="10761" width="32.5546875" style="169" customWidth="1"/>
    <col min="10762" max="10762" width="30.44140625" style="169" customWidth="1"/>
    <col min="10763" max="10763" width="24.33203125" style="169" customWidth="1"/>
    <col min="10764" max="10764" width="28" style="169" customWidth="1"/>
    <col min="10765" max="10765" width="19.44140625" style="169" customWidth="1"/>
    <col min="10766" max="11002" width="9.33203125" style="169"/>
    <col min="11003" max="11003" width="14.5546875" style="169" customWidth="1"/>
    <col min="11004" max="11004" width="14.44140625" style="169" customWidth="1"/>
    <col min="11005" max="11005" width="58.33203125" style="169" customWidth="1"/>
    <col min="11006" max="11006" width="30.44140625" style="169" customWidth="1"/>
    <col min="11007" max="11007" width="27.33203125" style="169" customWidth="1"/>
    <col min="11008" max="11008" width="30.6640625" style="169" customWidth="1"/>
    <col min="11009" max="11009" width="24.6640625" style="169" customWidth="1"/>
    <col min="11010" max="11010" width="27.33203125" style="169" customWidth="1"/>
    <col min="11011" max="11011" width="32" style="169" customWidth="1"/>
    <col min="11012" max="11012" width="25.5546875" style="169" customWidth="1"/>
    <col min="11013" max="11013" width="27.33203125" style="169" customWidth="1"/>
    <col min="11014" max="11014" width="31.44140625" style="169" customWidth="1"/>
    <col min="11015" max="11015" width="30.5546875" style="169" customWidth="1"/>
    <col min="11016" max="11016" width="27.33203125" style="169" customWidth="1"/>
    <col min="11017" max="11017" width="32.5546875" style="169" customWidth="1"/>
    <col min="11018" max="11018" width="30.44140625" style="169" customWidth="1"/>
    <col min="11019" max="11019" width="24.33203125" style="169" customWidth="1"/>
    <col min="11020" max="11020" width="28" style="169" customWidth="1"/>
    <col min="11021" max="11021" width="19.44140625" style="169" customWidth="1"/>
    <col min="11022" max="11258" width="9.33203125" style="169"/>
    <col min="11259" max="11259" width="14.5546875" style="169" customWidth="1"/>
    <col min="11260" max="11260" width="14.44140625" style="169" customWidth="1"/>
    <col min="11261" max="11261" width="58.33203125" style="169" customWidth="1"/>
    <col min="11262" max="11262" width="30.44140625" style="169" customWidth="1"/>
    <col min="11263" max="11263" width="27.33203125" style="169" customWidth="1"/>
    <col min="11264" max="11264" width="30.6640625" style="169" customWidth="1"/>
    <col min="11265" max="11265" width="24.6640625" style="169" customWidth="1"/>
    <col min="11266" max="11266" width="27.33203125" style="169" customWidth="1"/>
    <col min="11267" max="11267" width="32" style="169" customWidth="1"/>
    <col min="11268" max="11268" width="25.5546875" style="169" customWidth="1"/>
    <col min="11269" max="11269" width="27.33203125" style="169" customWidth="1"/>
    <col min="11270" max="11270" width="31.44140625" style="169" customWidth="1"/>
    <col min="11271" max="11271" width="30.5546875" style="169" customWidth="1"/>
    <col min="11272" max="11272" width="27.33203125" style="169" customWidth="1"/>
    <col min="11273" max="11273" width="32.5546875" style="169" customWidth="1"/>
    <col min="11274" max="11274" width="30.44140625" style="169" customWidth="1"/>
    <col min="11275" max="11275" width="24.33203125" style="169" customWidth="1"/>
    <col min="11276" max="11276" width="28" style="169" customWidth="1"/>
    <col min="11277" max="11277" width="19.44140625" style="169" customWidth="1"/>
    <col min="11278" max="11514" width="9.33203125" style="169"/>
    <col min="11515" max="11515" width="14.5546875" style="169" customWidth="1"/>
    <col min="11516" max="11516" width="14.44140625" style="169" customWidth="1"/>
    <col min="11517" max="11517" width="58.33203125" style="169" customWidth="1"/>
    <col min="11518" max="11518" width="30.44140625" style="169" customWidth="1"/>
    <col min="11519" max="11519" width="27.33203125" style="169" customWidth="1"/>
    <col min="11520" max="11520" width="30.6640625" style="169" customWidth="1"/>
    <col min="11521" max="11521" width="24.6640625" style="169" customWidth="1"/>
    <col min="11522" max="11522" width="27.33203125" style="169" customWidth="1"/>
    <col min="11523" max="11523" width="32" style="169" customWidth="1"/>
    <col min="11524" max="11524" width="25.5546875" style="169" customWidth="1"/>
    <col min="11525" max="11525" width="27.33203125" style="169" customWidth="1"/>
    <col min="11526" max="11526" width="31.44140625" style="169" customWidth="1"/>
    <col min="11527" max="11527" width="30.5546875" style="169" customWidth="1"/>
    <col min="11528" max="11528" width="27.33203125" style="169" customWidth="1"/>
    <col min="11529" max="11529" width="32.5546875" style="169" customWidth="1"/>
    <col min="11530" max="11530" width="30.44140625" style="169" customWidth="1"/>
    <col min="11531" max="11531" width="24.33203125" style="169" customWidth="1"/>
    <col min="11532" max="11532" width="28" style="169" customWidth="1"/>
    <col min="11533" max="11533" width="19.44140625" style="169" customWidth="1"/>
    <col min="11534" max="11770" width="9.33203125" style="169"/>
    <col min="11771" max="11771" width="14.5546875" style="169" customWidth="1"/>
    <col min="11772" max="11772" width="14.44140625" style="169" customWidth="1"/>
    <col min="11773" max="11773" width="58.33203125" style="169" customWidth="1"/>
    <col min="11774" max="11774" width="30.44140625" style="169" customWidth="1"/>
    <col min="11775" max="11775" width="27.33203125" style="169" customWidth="1"/>
    <col min="11776" max="11776" width="30.6640625" style="169" customWidth="1"/>
    <col min="11777" max="11777" width="24.6640625" style="169" customWidth="1"/>
    <col min="11778" max="11778" width="27.33203125" style="169" customWidth="1"/>
    <col min="11779" max="11779" width="32" style="169" customWidth="1"/>
    <col min="11780" max="11780" width="25.5546875" style="169" customWidth="1"/>
    <col min="11781" max="11781" width="27.33203125" style="169" customWidth="1"/>
    <col min="11782" max="11782" width="31.44140625" style="169" customWidth="1"/>
    <col min="11783" max="11783" width="30.5546875" style="169" customWidth="1"/>
    <col min="11784" max="11784" width="27.33203125" style="169" customWidth="1"/>
    <col min="11785" max="11785" width="32.5546875" style="169" customWidth="1"/>
    <col min="11786" max="11786" width="30.44140625" style="169" customWidth="1"/>
    <col min="11787" max="11787" width="24.33203125" style="169" customWidth="1"/>
    <col min="11788" max="11788" width="28" style="169" customWidth="1"/>
    <col min="11789" max="11789" width="19.44140625" style="169" customWidth="1"/>
    <col min="11790" max="12026" width="9.33203125" style="169"/>
    <col min="12027" max="12027" width="14.5546875" style="169" customWidth="1"/>
    <col min="12028" max="12028" width="14.44140625" style="169" customWidth="1"/>
    <col min="12029" max="12029" width="58.33203125" style="169" customWidth="1"/>
    <col min="12030" max="12030" width="30.44140625" style="169" customWidth="1"/>
    <col min="12031" max="12031" width="27.33203125" style="169" customWidth="1"/>
    <col min="12032" max="12032" width="30.6640625" style="169" customWidth="1"/>
    <col min="12033" max="12033" width="24.6640625" style="169" customWidth="1"/>
    <col min="12034" max="12034" width="27.33203125" style="169" customWidth="1"/>
    <col min="12035" max="12035" width="32" style="169" customWidth="1"/>
    <col min="12036" max="12036" width="25.5546875" style="169" customWidth="1"/>
    <col min="12037" max="12037" width="27.33203125" style="169" customWidth="1"/>
    <col min="12038" max="12038" width="31.44140625" style="169" customWidth="1"/>
    <col min="12039" max="12039" width="30.5546875" style="169" customWidth="1"/>
    <col min="12040" max="12040" width="27.33203125" style="169" customWidth="1"/>
    <col min="12041" max="12041" width="32.5546875" style="169" customWidth="1"/>
    <col min="12042" max="12042" width="30.44140625" style="169" customWidth="1"/>
    <col min="12043" max="12043" width="24.33203125" style="169" customWidth="1"/>
    <col min="12044" max="12044" width="28" style="169" customWidth="1"/>
    <col min="12045" max="12045" width="19.44140625" style="169" customWidth="1"/>
    <col min="12046" max="12282" width="9.33203125" style="169"/>
    <col min="12283" max="12283" width="14.5546875" style="169" customWidth="1"/>
    <col min="12284" max="12284" width="14.44140625" style="169" customWidth="1"/>
    <col min="12285" max="12285" width="58.33203125" style="169" customWidth="1"/>
    <col min="12286" max="12286" width="30.44140625" style="169" customWidth="1"/>
    <col min="12287" max="12287" width="27.33203125" style="169" customWidth="1"/>
    <col min="12288" max="12288" width="30.6640625" style="169" customWidth="1"/>
    <col min="12289" max="12289" width="24.6640625" style="169" customWidth="1"/>
    <col min="12290" max="12290" width="27.33203125" style="169" customWidth="1"/>
    <col min="12291" max="12291" width="32" style="169" customWidth="1"/>
    <col min="12292" max="12292" width="25.5546875" style="169" customWidth="1"/>
    <col min="12293" max="12293" width="27.33203125" style="169" customWidth="1"/>
    <col min="12294" max="12294" width="31.44140625" style="169" customWidth="1"/>
    <col min="12295" max="12295" width="30.5546875" style="169" customWidth="1"/>
    <col min="12296" max="12296" width="27.33203125" style="169" customWidth="1"/>
    <col min="12297" max="12297" width="32.5546875" style="169" customWidth="1"/>
    <col min="12298" max="12298" width="30.44140625" style="169" customWidth="1"/>
    <col min="12299" max="12299" width="24.33203125" style="169" customWidth="1"/>
    <col min="12300" max="12300" width="28" style="169" customWidth="1"/>
    <col min="12301" max="12301" width="19.44140625" style="169" customWidth="1"/>
    <col min="12302" max="12538" width="9.33203125" style="169"/>
    <col min="12539" max="12539" width="14.5546875" style="169" customWidth="1"/>
    <col min="12540" max="12540" width="14.44140625" style="169" customWidth="1"/>
    <col min="12541" max="12541" width="58.33203125" style="169" customWidth="1"/>
    <col min="12542" max="12542" width="30.44140625" style="169" customWidth="1"/>
    <col min="12543" max="12543" width="27.33203125" style="169" customWidth="1"/>
    <col min="12544" max="12544" width="30.6640625" style="169" customWidth="1"/>
    <col min="12545" max="12545" width="24.6640625" style="169" customWidth="1"/>
    <col min="12546" max="12546" width="27.33203125" style="169" customWidth="1"/>
    <col min="12547" max="12547" width="32" style="169" customWidth="1"/>
    <col min="12548" max="12548" width="25.5546875" style="169" customWidth="1"/>
    <col min="12549" max="12549" width="27.33203125" style="169" customWidth="1"/>
    <col min="12550" max="12550" width="31.44140625" style="169" customWidth="1"/>
    <col min="12551" max="12551" width="30.5546875" style="169" customWidth="1"/>
    <col min="12552" max="12552" width="27.33203125" style="169" customWidth="1"/>
    <col min="12553" max="12553" width="32.5546875" style="169" customWidth="1"/>
    <col min="12554" max="12554" width="30.44140625" style="169" customWidth="1"/>
    <col min="12555" max="12555" width="24.33203125" style="169" customWidth="1"/>
    <col min="12556" max="12556" width="28" style="169" customWidth="1"/>
    <col min="12557" max="12557" width="19.44140625" style="169" customWidth="1"/>
    <col min="12558" max="12794" width="9.33203125" style="169"/>
    <col min="12795" max="12795" width="14.5546875" style="169" customWidth="1"/>
    <col min="12796" max="12796" width="14.44140625" style="169" customWidth="1"/>
    <col min="12797" max="12797" width="58.33203125" style="169" customWidth="1"/>
    <col min="12798" max="12798" width="30.44140625" style="169" customWidth="1"/>
    <col min="12799" max="12799" width="27.33203125" style="169" customWidth="1"/>
    <col min="12800" max="12800" width="30.6640625" style="169" customWidth="1"/>
    <col min="12801" max="12801" width="24.6640625" style="169" customWidth="1"/>
    <col min="12802" max="12802" width="27.33203125" style="169" customWidth="1"/>
    <col min="12803" max="12803" width="32" style="169" customWidth="1"/>
    <col min="12804" max="12804" width="25.5546875" style="169" customWidth="1"/>
    <col min="12805" max="12805" width="27.33203125" style="169" customWidth="1"/>
    <col min="12806" max="12806" width="31.44140625" style="169" customWidth="1"/>
    <col min="12807" max="12807" width="30.5546875" style="169" customWidth="1"/>
    <col min="12808" max="12808" width="27.33203125" style="169" customWidth="1"/>
    <col min="12809" max="12809" width="32.5546875" style="169" customWidth="1"/>
    <col min="12810" max="12810" width="30.44140625" style="169" customWidth="1"/>
    <col min="12811" max="12811" width="24.33203125" style="169" customWidth="1"/>
    <col min="12812" max="12812" width="28" style="169" customWidth="1"/>
    <col min="12813" max="12813" width="19.44140625" style="169" customWidth="1"/>
    <col min="12814" max="13050" width="9.33203125" style="169"/>
    <col min="13051" max="13051" width="14.5546875" style="169" customWidth="1"/>
    <col min="13052" max="13052" width="14.44140625" style="169" customWidth="1"/>
    <col min="13053" max="13053" width="58.33203125" style="169" customWidth="1"/>
    <col min="13054" max="13054" width="30.44140625" style="169" customWidth="1"/>
    <col min="13055" max="13055" width="27.33203125" style="169" customWidth="1"/>
    <col min="13056" max="13056" width="30.6640625" style="169" customWidth="1"/>
    <col min="13057" max="13057" width="24.6640625" style="169" customWidth="1"/>
    <col min="13058" max="13058" width="27.33203125" style="169" customWidth="1"/>
    <col min="13059" max="13059" width="32" style="169" customWidth="1"/>
    <col min="13060" max="13060" width="25.5546875" style="169" customWidth="1"/>
    <col min="13061" max="13061" width="27.33203125" style="169" customWidth="1"/>
    <col min="13062" max="13062" width="31.44140625" style="169" customWidth="1"/>
    <col min="13063" max="13063" width="30.5546875" style="169" customWidth="1"/>
    <col min="13064" max="13064" width="27.33203125" style="169" customWidth="1"/>
    <col min="13065" max="13065" width="32.5546875" style="169" customWidth="1"/>
    <col min="13066" max="13066" width="30.44140625" style="169" customWidth="1"/>
    <col min="13067" max="13067" width="24.33203125" style="169" customWidth="1"/>
    <col min="13068" max="13068" width="28" style="169" customWidth="1"/>
    <col min="13069" max="13069" width="19.44140625" style="169" customWidth="1"/>
    <col min="13070" max="13306" width="9.33203125" style="169"/>
    <col min="13307" max="13307" width="14.5546875" style="169" customWidth="1"/>
    <col min="13308" max="13308" width="14.44140625" style="169" customWidth="1"/>
    <col min="13309" max="13309" width="58.33203125" style="169" customWidth="1"/>
    <col min="13310" max="13310" width="30.44140625" style="169" customWidth="1"/>
    <col min="13311" max="13311" width="27.33203125" style="169" customWidth="1"/>
    <col min="13312" max="13312" width="30.6640625" style="169" customWidth="1"/>
    <col min="13313" max="13313" width="24.6640625" style="169" customWidth="1"/>
    <col min="13314" max="13314" width="27.33203125" style="169" customWidth="1"/>
    <col min="13315" max="13315" width="32" style="169" customWidth="1"/>
    <col min="13316" max="13316" width="25.5546875" style="169" customWidth="1"/>
    <col min="13317" max="13317" width="27.33203125" style="169" customWidth="1"/>
    <col min="13318" max="13318" width="31.44140625" style="169" customWidth="1"/>
    <col min="13319" max="13319" width="30.5546875" style="169" customWidth="1"/>
    <col min="13320" max="13320" width="27.33203125" style="169" customWidth="1"/>
    <col min="13321" max="13321" width="32.5546875" style="169" customWidth="1"/>
    <col min="13322" max="13322" width="30.44140625" style="169" customWidth="1"/>
    <col min="13323" max="13323" width="24.33203125" style="169" customWidth="1"/>
    <col min="13324" max="13324" width="28" style="169" customWidth="1"/>
    <col min="13325" max="13325" width="19.44140625" style="169" customWidth="1"/>
    <col min="13326" max="13562" width="9.33203125" style="169"/>
    <col min="13563" max="13563" width="14.5546875" style="169" customWidth="1"/>
    <col min="13564" max="13564" width="14.44140625" style="169" customWidth="1"/>
    <col min="13565" max="13565" width="58.33203125" style="169" customWidth="1"/>
    <col min="13566" max="13566" width="30.44140625" style="169" customWidth="1"/>
    <col min="13567" max="13567" width="27.33203125" style="169" customWidth="1"/>
    <col min="13568" max="13568" width="30.6640625" style="169" customWidth="1"/>
    <col min="13569" max="13569" width="24.6640625" style="169" customWidth="1"/>
    <col min="13570" max="13570" width="27.33203125" style="169" customWidth="1"/>
    <col min="13571" max="13571" width="32" style="169" customWidth="1"/>
    <col min="13572" max="13572" width="25.5546875" style="169" customWidth="1"/>
    <col min="13573" max="13573" width="27.33203125" style="169" customWidth="1"/>
    <col min="13574" max="13574" width="31.44140625" style="169" customWidth="1"/>
    <col min="13575" max="13575" width="30.5546875" style="169" customWidth="1"/>
    <col min="13576" max="13576" width="27.33203125" style="169" customWidth="1"/>
    <col min="13577" max="13577" width="32.5546875" style="169" customWidth="1"/>
    <col min="13578" max="13578" width="30.44140625" style="169" customWidth="1"/>
    <col min="13579" max="13579" width="24.33203125" style="169" customWidth="1"/>
    <col min="13580" max="13580" width="28" style="169" customWidth="1"/>
    <col min="13581" max="13581" width="19.44140625" style="169" customWidth="1"/>
    <col min="13582" max="13818" width="9.33203125" style="169"/>
    <col min="13819" max="13819" width="14.5546875" style="169" customWidth="1"/>
    <col min="13820" max="13820" width="14.44140625" style="169" customWidth="1"/>
    <col min="13821" max="13821" width="58.33203125" style="169" customWidth="1"/>
    <col min="13822" max="13822" width="30.44140625" style="169" customWidth="1"/>
    <col min="13823" max="13823" width="27.33203125" style="169" customWidth="1"/>
    <col min="13824" max="13824" width="30.6640625" style="169" customWidth="1"/>
    <col min="13825" max="13825" width="24.6640625" style="169" customWidth="1"/>
    <col min="13826" max="13826" width="27.33203125" style="169" customWidth="1"/>
    <col min="13827" max="13827" width="32" style="169" customWidth="1"/>
    <col min="13828" max="13828" width="25.5546875" style="169" customWidth="1"/>
    <col min="13829" max="13829" width="27.33203125" style="169" customWidth="1"/>
    <col min="13830" max="13830" width="31.44140625" style="169" customWidth="1"/>
    <col min="13831" max="13831" width="30.5546875" style="169" customWidth="1"/>
    <col min="13832" max="13832" width="27.33203125" style="169" customWidth="1"/>
    <col min="13833" max="13833" width="32.5546875" style="169" customWidth="1"/>
    <col min="13834" max="13834" width="30.44140625" style="169" customWidth="1"/>
    <col min="13835" max="13835" width="24.33203125" style="169" customWidth="1"/>
    <col min="13836" max="13836" width="28" style="169" customWidth="1"/>
    <col min="13837" max="13837" width="19.44140625" style="169" customWidth="1"/>
    <col min="13838" max="14074" width="9.33203125" style="169"/>
    <col min="14075" max="14075" width="14.5546875" style="169" customWidth="1"/>
    <col min="14076" max="14076" width="14.44140625" style="169" customWidth="1"/>
    <col min="14077" max="14077" width="58.33203125" style="169" customWidth="1"/>
    <col min="14078" max="14078" width="30.44140625" style="169" customWidth="1"/>
    <col min="14079" max="14079" width="27.33203125" style="169" customWidth="1"/>
    <col min="14080" max="14080" width="30.6640625" style="169" customWidth="1"/>
    <col min="14081" max="14081" width="24.6640625" style="169" customWidth="1"/>
    <col min="14082" max="14082" width="27.33203125" style="169" customWidth="1"/>
    <col min="14083" max="14083" width="32" style="169" customWidth="1"/>
    <col min="14084" max="14084" width="25.5546875" style="169" customWidth="1"/>
    <col min="14085" max="14085" width="27.33203125" style="169" customWidth="1"/>
    <col min="14086" max="14086" width="31.44140625" style="169" customWidth="1"/>
    <col min="14087" max="14087" width="30.5546875" style="169" customWidth="1"/>
    <col min="14088" max="14088" width="27.33203125" style="169" customWidth="1"/>
    <col min="14089" max="14089" width="32.5546875" style="169" customWidth="1"/>
    <col min="14090" max="14090" width="30.44140625" style="169" customWidth="1"/>
    <col min="14091" max="14091" width="24.33203125" style="169" customWidth="1"/>
    <col min="14092" max="14092" width="28" style="169" customWidth="1"/>
    <col min="14093" max="14093" width="19.44140625" style="169" customWidth="1"/>
    <col min="14094" max="14330" width="9.33203125" style="169"/>
    <col min="14331" max="14331" width="14.5546875" style="169" customWidth="1"/>
    <col min="14332" max="14332" width="14.44140625" style="169" customWidth="1"/>
    <col min="14333" max="14333" width="58.33203125" style="169" customWidth="1"/>
    <col min="14334" max="14334" width="30.44140625" style="169" customWidth="1"/>
    <col min="14335" max="14335" width="27.33203125" style="169" customWidth="1"/>
    <col min="14336" max="14336" width="30.6640625" style="169" customWidth="1"/>
    <col min="14337" max="14337" width="24.6640625" style="169" customWidth="1"/>
    <col min="14338" max="14338" width="27.33203125" style="169" customWidth="1"/>
    <col min="14339" max="14339" width="32" style="169" customWidth="1"/>
    <col min="14340" max="14340" width="25.5546875" style="169" customWidth="1"/>
    <col min="14341" max="14341" width="27.33203125" style="169" customWidth="1"/>
    <col min="14342" max="14342" width="31.44140625" style="169" customWidth="1"/>
    <col min="14343" max="14343" width="30.5546875" style="169" customWidth="1"/>
    <col min="14344" max="14344" width="27.33203125" style="169" customWidth="1"/>
    <col min="14345" max="14345" width="32.5546875" style="169" customWidth="1"/>
    <col min="14346" max="14346" width="30.44140625" style="169" customWidth="1"/>
    <col min="14347" max="14347" width="24.33203125" style="169" customWidth="1"/>
    <col min="14348" max="14348" width="28" style="169" customWidth="1"/>
    <col min="14349" max="14349" width="19.44140625" style="169" customWidth="1"/>
    <col min="14350" max="14586" width="9.33203125" style="169"/>
    <col min="14587" max="14587" width="14.5546875" style="169" customWidth="1"/>
    <col min="14588" max="14588" width="14.44140625" style="169" customWidth="1"/>
    <col min="14589" max="14589" width="58.33203125" style="169" customWidth="1"/>
    <col min="14590" max="14590" width="30.44140625" style="169" customWidth="1"/>
    <col min="14591" max="14591" width="27.33203125" style="169" customWidth="1"/>
    <col min="14592" max="14592" width="30.6640625" style="169" customWidth="1"/>
    <col min="14593" max="14593" width="24.6640625" style="169" customWidth="1"/>
    <col min="14594" max="14594" width="27.33203125" style="169" customWidth="1"/>
    <col min="14595" max="14595" width="32" style="169" customWidth="1"/>
    <col min="14596" max="14596" width="25.5546875" style="169" customWidth="1"/>
    <col min="14597" max="14597" width="27.33203125" style="169" customWidth="1"/>
    <col min="14598" max="14598" width="31.44140625" style="169" customWidth="1"/>
    <col min="14599" max="14599" width="30.5546875" style="169" customWidth="1"/>
    <col min="14600" max="14600" width="27.33203125" style="169" customWidth="1"/>
    <col min="14601" max="14601" width="32.5546875" style="169" customWidth="1"/>
    <col min="14602" max="14602" width="30.44140625" style="169" customWidth="1"/>
    <col min="14603" max="14603" width="24.33203125" style="169" customWidth="1"/>
    <col min="14604" max="14604" width="28" style="169" customWidth="1"/>
    <col min="14605" max="14605" width="19.44140625" style="169" customWidth="1"/>
    <col min="14606" max="14842" width="9.33203125" style="169"/>
    <col min="14843" max="14843" width="14.5546875" style="169" customWidth="1"/>
    <col min="14844" max="14844" width="14.44140625" style="169" customWidth="1"/>
    <col min="14845" max="14845" width="58.33203125" style="169" customWidth="1"/>
    <col min="14846" max="14846" width="30.44140625" style="169" customWidth="1"/>
    <col min="14847" max="14847" width="27.33203125" style="169" customWidth="1"/>
    <col min="14848" max="14848" width="30.6640625" style="169" customWidth="1"/>
    <col min="14849" max="14849" width="24.6640625" style="169" customWidth="1"/>
    <col min="14850" max="14850" width="27.33203125" style="169" customWidth="1"/>
    <col min="14851" max="14851" width="32" style="169" customWidth="1"/>
    <col min="14852" max="14852" width="25.5546875" style="169" customWidth="1"/>
    <col min="14853" max="14853" width="27.33203125" style="169" customWidth="1"/>
    <col min="14854" max="14854" width="31.44140625" style="169" customWidth="1"/>
    <col min="14855" max="14855" width="30.5546875" style="169" customWidth="1"/>
    <col min="14856" max="14856" width="27.33203125" style="169" customWidth="1"/>
    <col min="14857" max="14857" width="32.5546875" style="169" customWidth="1"/>
    <col min="14858" max="14858" width="30.44140625" style="169" customWidth="1"/>
    <col min="14859" max="14859" width="24.33203125" style="169" customWidth="1"/>
    <col min="14860" max="14860" width="28" style="169" customWidth="1"/>
    <col min="14861" max="14861" width="19.44140625" style="169" customWidth="1"/>
    <col min="14862" max="15098" width="9.33203125" style="169"/>
    <col min="15099" max="15099" width="14.5546875" style="169" customWidth="1"/>
    <col min="15100" max="15100" width="14.44140625" style="169" customWidth="1"/>
    <col min="15101" max="15101" width="58.33203125" style="169" customWidth="1"/>
    <col min="15102" max="15102" width="30.44140625" style="169" customWidth="1"/>
    <col min="15103" max="15103" width="27.33203125" style="169" customWidth="1"/>
    <col min="15104" max="15104" width="30.6640625" style="169" customWidth="1"/>
    <col min="15105" max="15105" width="24.6640625" style="169" customWidth="1"/>
    <col min="15106" max="15106" width="27.33203125" style="169" customWidth="1"/>
    <col min="15107" max="15107" width="32" style="169" customWidth="1"/>
    <col min="15108" max="15108" width="25.5546875" style="169" customWidth="1"/>
    <col min="15109" max="15109" width="27.33203125" style="169" customWidth="1"/>
    <col min="15110" max="15110" width="31.44140625" style="169" customWidth="1"/>
    <col min="15111" max="15111" width="30.5546875" style="169" customWidth="1"/>
    <col min="15112" max="15112" width="27.33203125" style="169" customWidth="1"/>
    <col min="15113" max="15113" width="32.5546875" style="169" customWidth="1"/>
    <col min="15114" max="15114" width="30.44140625" style="169" customWidth="1"/>
    <col min="15115" max="15115" width="24.33203125" style="169" customWidth="1"/>
    <col min="15116" max="15116" width="28" style="169" customWidth="1"/>
    <col min="15117" max="15117" width="19.44140625" style="169" customWidth="1"/>
    <col min="15118" max="15354" width="9.33203125" style="169"/>
    <col min="15355" max="15355" width="14.5546875" style="169" customWidth="1"/>
    <col min="15356" max="15356" width="14.44140625" style="169" customWidth="1"/>
    <col min="15357" max="15357" width="58.33203125" style="169" customWidth="1"/>
    <col min="15358" max="15358" width="30.44140625" style="169" customWidth="1"/>
    <col min="15359" max="15359" width="27.33203125" style="169" customWidth="1"/>
    <col min="15360" max="15360" width="30.6640625" style="169" customWidth="1"/>
    <col min="15361" max="15361" width="24.6640625" style="169" customWidth="1"/>
    <col min="15362" max="15362" width="27.33203125" style="169" customWidth="1"/>
    <col min="15363" max="15363" width="32" style="169" customWidth="1"/>
    <col min="15364" max="15364" width="25.5546875" style="169" customWidth="1"/>
    <col min="15365" max="15365" width="27.33203125" style="169" customWidth="1"/>
    <col min="15366" max="15366" width="31.44140625" style="169" customWidth="1"/>
    <col min="15367" max="15367" width="30.5546875" style="169" customWidth="1"/>
    <col min="15368" max="15368" width="27.33203125" style="169" customWidth="1"/>
    <col min="15369" max="15369" width="32.5546875" style="169" customWidth="1"/>
    <col min="15370" max="15370" width="30.44140625" style="169" customWidth="1"/>
    <col min="15371" max="15371" width="24.33203125" style="169" customWidth="1"/>
    <col min="15372" max="15372" width="28" style="169" customWidth="1"/>
    <col min="15373" max="15373" width="19.44140625" style="169" customWidth="1"/>
    <col min="15374" max="15610" width="9.33203125" style="169"/>
    <col min="15611" max="15611" width="14.5546875" style="169" customWidth="1"/>
    <col min="15612" max="15612" width="14.44140625" style="169" customWidth="1"/>
    <col min="15613" max="15613" width="58.33203125" style="169" customWidth="1"/>
    <col min="15614" max="15614" width="30.44140625" style="169" customWidth="1"/>
    <col min="15615" max="15615" width="27.33203125" style="169" customWidth="1"/>
    <col min="15616" max="15616" width="30.6640625" style="169" customWidth="1"/>
    <col min="15617" max="15617" width="24.6640625" style="169" customWidth="1"/>
    <col min="15618" max="15618" width="27.33203125" style="169" customWidth="1"/>
    <col min="15619" max="15619" width="32" style="169" customWidth="1"/>
    <col min="15620" max="15620" width="25.5546875" style="169" customWidth="1"/>
    <col min="15621" max="15621" width="27.33203125" style="169" customWidth="1"/>
    <col min="15622" max="15622" width="31.44140625" style="169" customWidth="1"/>
    <col min="15623" max="15623" width="30.5546875" style="169" customWidth="1"/>
    <col min="15624" max="15624" width="27.33203125" style="169" customWidth="1"/>
    <col min="15625" max="15625" width="32.5546875" style="169" customWidth="1"/>
    <col min="15626" max="15626" width="30.44140625" style="169" customWidth="1"/>
    <col min="15627" max="15627" width="24.33203125" style="169" customWidth="1"/>
    <col min="15628" max="15628" width="28" style="169" customWidth="1"/>
    <col min="15629" max="15629" width="19.44140625" style="169" customWidth="1"/>
    <col min="15630" max="15866" width="9.33203125" style="169"/>
    <col min="15867" max="15867" width="14.5546875" style="169" customWidth="1"/>
    <col min="15868" max="15868" width="14.44140625" style="169" customWidth="1"/>
    <col min="15869" max="15869" width="58.33203125" style="169" customWidth="1"/>
    <col min="15870" max="15870" width="30.44140625" style="169" customWidth="1"/>
    <col min="15871" max="15871" width="27.33203125" style="169" customWidth="1"/>
    <col min="15872" max="15872" width="30.6640625" style="169" customWidth="1"/>
    <col min="15873" max="15873" width="24.6640625" style="169" customWidth="1"/>
    <col min="15874" max="15874" width="27.33203125" style="169" customWidth="1"/>
    <col min="15875" max="15875" width="32" style="169" customWidth="1"/>
    <col min="15876" max="15876" width="25.5546875" style="169" customWidth="1"/>
    <col min="15877" max="15877" width="27.33203125" style="169" customWidth="1"/>
    <col min="15878" max="15878" width="31.44140625" style="169" customWidth="1"/>
    <col min="15879" max="15879" width="30.5546875" style="169" customWidth="1"/>
    <col min="15880" max="15880" width="27.33203125" style="169" customWidth="1"/>
    <col min="15881" max="15881" width="32.5546875" style="169" customWidth="1"/>
    <col min="15882" max="15882" width="30.44140625" style="169" customWidth="1"/>
    <col min="15883" max="15883" width="24.33203125" style="169" customWidth="1"/>
    <col min="15884" max="15884" width="28" style="169" customWidth="1"/>
    <col min="15885" max="15885" width="19.44140625" style="169" customWidth="1"/>
    <col min="15886" max="16122" width="9.33203125" style="169"/>
    <col min="16123" max="16123" width="14.5546875" style="169" customWidth="1"/>
    <col min="16124" max="16124" width="14.44140625" style="169" customWidth="1"/>
    <col min="16125" max="16125" width="58.33203125" style="169" customWidth="1"/>
    <col min="16126" max="16126" width="30.44140625" style="169" customWidth="1"/>
    <col min="16127" max="16127" width="27.33203125" style="169" customWidth="1"/>
    <col min="16128" max="16128" width="30.6640625" style="169" customWidth="1"/>
    <col min="16129" max="16129" width="24.6640625" style="169" customWidth="1"/>
    <col min="16130" max="16130" width="27.33203125" style="169" customWidth="1"/>
    <col min="16131" max="16131" width="32" style="169" customWidth="1"/>
    <col min="16132" max="16132" width="25.5546875" style="169" customWidth="1"/>
    <col min="16133" max="16133" width="27.33203125" style="169" customWidth="1"/>
    <col min="16134" max="16134" width="31.44140625" style="169" customWidth="1"/>
    <col min="16135" max="16135" width="30.5546875" style="169" customWidth="1"/>
    <col min="16136" max="16136" width="27.33203125" style="169" customWidth="1"/>
    <col min="16137" max="16137" width="32.5546875" style="169" customWidth="1"/>
    <col min="16138" max="16138" width="30.44140625" style="169" customWidth="1"/>
    <col min="16139" max="16139" width="24.33203125" style="169" customWidth="1"/>
    <col min="16140" max="16140" width="28" style="169" customWidth="1"/>
    <col min="16141" max="16141" width="19.44140625" style="169" customWidth="1"/>
    <col min="16142" max="16384" width="9.33203125" style="169"/>
  </cols>
  <sheetData>
    <row r="1" spans="2:12" x14ac:dyDescent="0.25">
      <c r="C1" s="370"/>
      <c r="D1" s="170"/>
      <c r="E1" s="170"/>
      <c r="F1" s="170"/>
      <c r="G1" s="170"/>
    </row>
    <row r="2" spans="2:12" s="187" customFormat="1" x14ac:dyDescent="0.25">
      <c r="B2" s="208"/>
      <c r="C2" s="171"/>
      <c r="D2" s="208"/>
      <c r="E2" s="208"/>
      <c r="F2" s="208"/>
      <c r="G2" s="299" t="s">
        <v>132</v>
      </c>
    </row>
    <row r="3" spans="2:12" s="187" customFormat="1" x14ac:dyDescent="0.25">
      <c r="B3" s="345"/>
      <c r="C3" s="171"/>
      <c r="D3" s="304"/>
      <c r="E3" s="304"/>
      <c r="F3" s="304"/>
      <c r="G3" s="303" t="s">
        <v>592</v>
      </c>
    </row>
    <row r="4" spans="2:12" s="187" customFormat="1" ht="15" customHeight="1" x14ac:dyDescent="0.25">
      <c r="B4" s="345"/>
      <c r="C4" s="171"/>
      <c r="D4" s="304"/>
      <c r="E4" s="304"/>
      <c r="F4" s="304"/>
      <c r="G4" s="303" t="s">
        <v>609</v>
      </c>
    </row>
    <row r="5" spans="2:12" ht="15" customHeight="1" x14ac:dyDescent="0.25">
      <c r="L5" s="371" t="s">
        <v>73</v>
      </c>
    </row>
    <row r="6" spans="2:12" s="189" customFormat="1" x14ac:dyDescent="0.25">
      <c r="B6" s="1167" t="s">
        <v>1</v>
      </c>
      <c r="C6" s="1167" t="s">
        <v>610</v>
      </c>
      <c r="D6" s="1172" t="s">
        <v>611</v>
      </c>
      <c r="E6" s="1173"/>
      <c r="F6" s="1173"/>
      <c r="G6" s="1173"/>
      <c r="H6" s="1173"/>
      <c r="I6" s="1173"/>
      <c r="J6" s="1174"/>
      <c r="K6" s="1175" t="s">
        <v>612</v>
      </c>
      <c r="L6" s="1178" t="s">
        <v>613</v>
      </c>
    </row>
    <row r="7" spans="2:12" s="190" customFormat="1" ht="14.7" customHeight="1" x14ac:dyDescent="0.25">
      <c r="B7" s="1168"/>
      <c r="C7" s="1168"/>
      <c r="D7" s="1181" t="s">
        <v>614</v>
      </c>
      <c r="E7" s="1181"/>
      <c r="F7" s="1181"/>
      <c r="G7" s="1181"/>
      <c r="H7" s="1181" t="s">
        <v>615</v>
      </c>
      <c r="I7" s="1181"/>
      <c r="J7" s="1181"/>
      <c r="K7" s="1176"/>
      <c r="L7" s="1179"/>
    </row>
    <row r="8" spans="2:12" s="191" customFormat="1" ht="69" x14ac:dyDescent="0.25">
      <c r="B8" s="1169"/>
      <c r="C8" s="1168"/>
      <c r="D8" s="372" t="s">
        <v>616</v>
      </c>
      <c r="E8" s="372" t="s">
        <v>617</v>
      </c>
      <c r="F8" s="372" t="s">
        <v>618</v>
      </c>
      <c r="G8" s="372" t="s">
        <v>619</v>
      </c>
      <c r="H8" s="372" t="s">
        <v>617</v>
      </c>
      <c r="I8" s="372" t="s">
        <v>618</v>
      </c>
      <c r="J8" s="372" t="s">
        <v>619</v>
      </c>
      <c r="K8" s="1177"/>
      <c r="L8" s="1179"/>
    </row>
    <row r="9" spans="2:12" s="191" customFormat="1" x14ac:dyDescent="0.25">
      <c r="B9" s="1170"/>
      <c r="C9" s="1171"/>
      <c r="D9" s="372"/>
      <c r="E9" s="372" t="s">
        <v>92</v>
      </c>
      <c r="F9" s="372" t="s">
        <v>93</v>
      </c>
      <c r="G9" s="372" t="s">
        <v>620</v>
      </c>
      <c r="H9" s="372" t="s">
        <v>95</v>
      </c>
      <c r="I9" s="372" t="s">
        <v>96</v>
      </c>
      <c r="J9" s="372" t="s">
        <v>621</v>
      </c>
      <c r="K9" s="373" t="s">
        <v>622</v>
      </c>
      <c r="L9" s="1180"/>
    </row>
    <row r="10" spans="2:12" s="192" customFormat="1" x14ac:dyDescent="0.25">
      <c r="B10" s="374">
        <v>1</v>
      </c>
      <c r="C10" s="375" t="s">
        <v>623</v>
      </c>
      <c r="D10" s="376"/>
      <c r="E10" s="377"/>
      <c r="F10" s="377"/>
      <c r="G10" s="377"/>
      <c r="H10" s="377"/>
      <c r="I10" s="377"/>
      <c r="J10" s="377"/>
      <c r="K10" s="377"/>
      <c r="L10" s="378"/>
    </row>
    <row r="11" spans="2:12" x14ac:dyDescent="0.25">
      <c r="B11" s="379">
        <v>1.1000000000000001</v>
      </c>
      <c r="C11" s="380" t="s">
        <v>624</v>
      </c>
      <c r="D11" s="381"/>
      <c r="E11" s="382"/>
      <c r="F11" s="382"/>
      <c r="G11" s="382"/>
      <c r="H11" s="382"/>
      <c r="I11" s="382"/>
      <c r="J11" s="382"/>
      <c r="K11" s="382"/>
      <c r="L11" s="383"/>
    </row>
    <row r="12" spans="2:12" x14ac:dyDescent="0.25">
      <c r="B12" s="379">
        <v>1.2</v>
      </c>
      <c r="C12" s="384" t="s">
        <v>572</v>
      </c>
      <c r="D12" s="381"/>
      <c r="E12" s="382"/>
      <c r="F12" s="382"/>
      <c r="G12" s="382"/>
      <c r="H12" s="382"/>
      <c r="I12" s="382"/>
      <c r="J12" s="382"/>
      <c r="K12" s="382"/>
      <c r="L12" s="383"/>
    </row>
    <row r="13" spans="2:12" x14ac:dyDescent="0.25">
      <c r="B13" s="385">
        <v>1.3</v>
      </c>
      <c r="C13" s="384" t="s">
        <v>180</v>
      </c>
      <c r="D13" s="381"/>
      <c r="E13" s="382"/>
      <c r="F13" s="382"/>
      <c r="G13" s="382"/>
      <c r="H13" s="382"/>
      <c r="I13" s="382"/>
      <c r="J13" s="382"/>
      <c r="K13" s="382"/>
      <c r="L13" s="383"/>
    </row>
    <row r="14" spans="2:12" s="192" customFormat="1" x14ac:dyDescent="0.25">
      <c r="B14" s="379"/>
      <c r="C14" s="384"/>
      <c r="D14" s="386"/>
      <c r="E14" s="377"/>
      <c r="F14" s="377"/>
      <c r="G14" s="377"/>
      <c r="H14" s="377"/>
      <c r="I14" s="377"/>
      <c r="J14" s="377"/>
      <c r="K14" s="377"/>
      <c r="L14" s="387"/>
    </row>
    <row r="15" spans="2:12" s="192" customFormat="1" x14ac:dyDescent="0.25">
      <c r="B15" s="388">
        <v>2</v>
      </c>
      <c r="C15" s="389" t="s">
        <v>625</v>
      </c>
      <c r="D15" s="386"/>
      <c r="E15" s="377"/>
      <c r="F15" s="377"/>
      <c r="G15" s="377"/>
      <c r="H15" s="377"/>
      <c r="I15" s="377"/>
      <c r="J15" s="377"/>
      <c r="K15" s="377"/>
      <c r="L15" s="387"/>
    </row>
    <row r="16" spans="2:12" s="192" customFormat="1" x14ac:dyDescent="0.25">
      <c r="B16" s="390">
        <v>2.1</v>
      </c>
      <c r="C16" s="384" t="s">
        <v>626</v>
      </c>
      <c r="D16" s="386"/>
      <c r="E16" s="377"/>
      <c r="F16" s="377"/>
      <c r="G16" s="377"/>
      <c r="H16" s="377"/>
      <c r="I16" s="377"/>
      <c r="J16" s="377"/>
      <c r="K16" s="377"/>
      <c r="L16" s="387"/>
    </row>
    <row r="17" spans="2:12" s="192" customFormat="1" x14ac:dyDescent="0.25">
      <c r="B17" s="390">
        <v>2.2000000000000002</v>
      </c>
      <c r="C17" s="384" t="s">
        <v>627</v>
      </c>
      <c r="D17" s="386"/>
      <c r="E17" s="377"/>
      <c r="F17" s="377"/>
      <c r="G17" s="377"/>
      <c r="H17" s="377"/>
      <c r="I17" s="377"/>
      <c r="J17" s="377"/>
      <c r="K17" s="377"/>
      <c r="L17" s="387"/>
    </row>
    <row r="18" spans="2:12" s="192" customFormat="1" x14ac:dyDescent="0.25">
      <c r="B18" s="390">
        <v>2.2999999999999998</v>
      </c>
      <c r="C18" s="384" t="s">
        <v>572</v>
      </c>
      <c r="D18" s="386"/>
      <c r="E18" s="377"/>
      <c r="F18" s="377"/>
      <c r="G18" s="377"/>
      <c r="H18" s="377"/>
      <c r="I18" s="377"/>
      <c r="J18" s="377"/>
      <c r="K18" s="377"/>
      <c r="L18" s="387"/>
    </row>
    <row r="19" spans="2:12" s="192" customFormat="1" x14ac:dyDescent="0.25">
      <c r="B19" s="390">
        <v>2.4</v>
      </c>
      <c r="C19" s="384" t="s">
        <v>180</v>
      </c>
      <c r="D19" s="391"/>
      <c r="E19" s="392"/>
      <c r="F19" s="392"/>
      <c r="G19" s="377"/>
      <c r="H19" s="392"/>
      <c r="I19" s="392"/>
      <c r="J19" s="392"/>
      <c r="K19" s="377"/>
      <c r="L19" s="378"/>
    </row>
    <row r="20" spans="2:12" s="192" customFormat="1" x14ac:dyDescent="0.25">
      <c r="B20" s="390"/>
      <c r="C20" s="384"/>
      <c r="D20" s="391"/>
      <c r="E20" s="392"/>
      <c r="F20" s="392"/>
      <c r="G20" s="377"/>
      <c r="H20" s="392"/>
      <c r="I20" s="392"/>
      <c r="J20" s="392"/>
      <c r="K20" s="377"/>
      <c r="L20" s="378"/>
    </row>
    <row r="21" spans="2:12" s="192" customFormat="1" x14ac:dyDescent="0.25">
      <c r="B21" s="388">
        <v>3</v>
      </c>
      <c r="C21" s="389" t="s">
        <v>628</v>
      </c>
      <c r="D21" s="391"/>
      <c r="E21" s="392"/>
      <c r="F21" s="392"/>
      <c r="G21" s="392"/>
      <c r="H21" s="392"/>
      <c r="I21" s="392"/>
      <c r="J21" s="392"/>
      <c r="K21" s="392"/>
      <c r="L21" s="378"/>
    </row>
    <row r="22" spans="2:12" x14ac:dyDescent="0.25">
      <c r="B22" s="390">
        <v>3.1</v>
      </c>
      <c r="C22" s="384" t="s">
        <v>629</v>
      </c>
      <c r="D22" s="212"/>
      <c r="E22" s="393"/>
      <c r="F22" s="393"/>
      <c r="G22" s="393"/>
      <c r="H22" s="382"/>
      <c r="I22" s="382"/>
      <c r="J22" s="393"/>
      <c r="K22" s="393"/>
      <c r="L22" s="216"/>
    </row>
    <row r="23" spans="2:12" x14ac:dyDescent="0.25">
      <c r="B23" s="390">
        <v>3.2</v>
      </c>
      <c r="C23" s="384" t="s">
        <v>630</v>
      </c>
      <c r="D23" s="212"/>
      <c r="E23" s="393"/>
      <c r="F23" s="393"/>
      <c r="G23" s="393"/>
      <c r="H23" s="382"/>
      <c r="I23" s="382"/>
      <c r="J23" s="393"/>
      <c r="K23" s="393"/>
      <c r="L23" s="216"/>
    </row>
    <row r="24" spans="2:12" x14ac:dyDescent="0.25">
      <c r="B24" s="390">
        <v>3.3</v>
      </c>
      <c r="C24" s="384" t="s">
        <v>572</v>
      </c>
      <c r="D24" s="212"/>
      <c r="E24" s="393"/>
      <c r="F24" s="393"/>
      <c r="G24" s="393"/>
      <c r="H24" s="382"/>
      <c r="I24" s="382"/>
      <c r="J24" s="393"/>
      <c r="K24" s="393"/>
      <c r="L24" s="216"/>
    </row>
    <row r="25" spans="2:12" s="192" customFormat="1" x14ac:dyDescent="0.25">
      <c r="B25" s="390">
        <v>3.4</v>
      </c>
      <c r="C25" s="384" t="s">
        <v>631</v>
      </c>
      <c r="D25" s="391"/>
      <c r="E25" s="392"/>
      <c r="F25" s="392"/>
      <c r="G25" s="392"/>
      <c r="H25" s="392"/>
      <c r="I25" s="392"/>
      <c r="J25" s="392"/>
      <c r="K25" s="392"/>
      <c r="L25" s="378"/>
    </row>
    <row r="26" spans="2:12" s="192" customFormat="1" x14ac:dyDescent="0.25">
      <c r="B26" s="390"/>
      <c r="C26" s="384"/>
      <c r="D26" s="378"/>
      <c r="E26" s="378"/>
      <c r="F26" s="378"/>
      <c r="G26" s="378"/>
      <c r="H26" s="378"/>
      <c r="I26" s="378"/>
      <c r="J26" s="378"/>
      <c r="K26" s="378"/>
      <c r="L26" s="378"/>
    </row>
    <row r="27" spans="2:12" s="192" customFormat="1" x14ac:dyDescent="0.25">
      <c r="B27" s="388">
        <v>4</v>
      </c>
      <c r="C27" s="389" t="s">
        <v>267</v>
      </c>
      <c r="D27" s="378"/>
      <c r="E27" s="378"/>
      <c r="F27" s="378"/>
      <c r="G27" s="378"/>
      <c r="H27" s="378"/>
      <c r="I27" s="378"/>
      <c r="J27" s="378"/>
      <c r="K27" s="378"/>
      <c r="L27" s="378"/>
    </row>
    <row r="28" spans="2:12" s="192" customFormat="1" x14ac:dyDescent="0.25">
      <c r="B28" s="390"/>
      <c r="C28" s="384"/>
      <c r="D28" s="391"/>
      <c r="E28" s="392"/>
      <c r="F28" s="392"/>
      <c r="G28" s="377"/>
      <c r="H28" s="392"/>
      <c r="I28" s="392"/>
      <c r="J28" s="392"/>
      <c r="K28" s="377"/>
      <c r="L28" s="378"/>
    </row>
    <row r="29" spans="2:12" s="192" customFormat="1" ht="18" customHeight="1" x14ac:dyDescent="0.25">
      <c r="B29" s="388">
        <v>5</v>
      </c>
      <c r="C29" s="389" t="s">
        <v>632</v>
      </c>
      <c r="D29" s="391"/>
      <c r="E29" s="392"/>
      <c r="F29" s="377"/>
      <c r="G29" s="392"/>
      <c r="H29" s="392"/>
      <c r="I29" s="392"/>
      <c r="J29" s="392"/>
      <c r="K29" s="377"/>
      <c r="L29" s="394"/>
    </row>
    <row r="30" spans="2:12" s="192" customFormat="1" ht="18" customHeight="1" x14ac:dyDescent="0.25">
      <c r="B30" s="390"/>
      <c r="C30" s="384"/>
      <c r="D30" s="391"/>
      <c r="E30" s="392"/>
      <c r="F30" s="377"/>
      <c r="G30" s="392"/>
      <c r="H30" s="392"/>
      <c r="I30" s="392"/>
      <c r="J30" s="392"/>
      <c r="K30" s="377"/>
      <c r="L30" s="394"/>
    </row>
    <row r="31" spans="2:12" x14ac:dyDescent="0.25">
      <c r="B31" s="388">
        <v>6</v>
      </c>
      <c r="C31" s="395" t="s">
        <v>633</v>
      </c>
      <c r="D31" s="212"/>
      <c r="E31" s="393"/>
      <c r="F31" s="393"/>
      <c r="G31" s="393"/>
      <c r="H31" s="393"/>
      <c r="I31" s="393"/>
      <c r="J31" s="393"/>
      <c r="K31" s="393"/>
      <c r="L31" s="216"/>
    </row>
    <row r="32" spans="2:12" x14ac:dyDescent="0.25">
      <c r="B32" s="349"/>
      <c r="C32" s="396"/>
      <c r="D32" s="212"/>
      <c r="E32" s="393"/>
      <c r="F32" s="393"/>
      <c r="G32" s="393"/>
      <c r="H32" s="393"/>
      <c r="I32" s="393"/>
      <c r="J32" s="393"/>
      <c r="K32" s="393"/>
      <c r="L32" s="216"/>
    </row>
    <row r="33" spans="2:12" x14ac:dyDescent="0.25">
      <c r="B33" s="388">
        <v>7</v>
      </c>
      <c r="C33" s="395" t="s">
        <v>572</v>
      </c>
      <c r="D33" s="212"/>
      <c r="E33" s="393"/>
      <c r="F33" s="393"/>
      <c r="G33" s="393"/>
      <c r="H33" s="393"/>
      <c r="I33" s="393"/>
      <c r="J33" s="393"/>
      <c r="K33" s="393"/>
      <c r="L33" s="216"/>
    </row>
    <row r="34" spans="2:12" x14ac:dyDescent="0.25">
      <c r="B34" s="349"/>
      <c r="C34" s="396"/>
      <c r="D34" s="212"/>
      <c r="E34" s="393"/>
      <c r="F34" s="393"/>
      <c r="G34" s="393"/>
      <c r="H34" s="393"/>
      <c r="I34" s="393"/>
      <c r="J34" s="393"/>
      <c r="K34" s="393"/>
      <c r="L34" s="216"/>
    </row>
    <row r="35" spans="2:12" s="192" customFormat="1" x14ac:dyDescent="0.25">
      <c r="B35" s="388">
        <v>8</v>
      </c>
      <c r="C35" s="389" t="s">
        <v>634</v>
      </c>
      <c r="D35" s="397"/>
      <c r="E35" s="392"/>
      <c r="F35" s="392"/>
      <c r="G35" s="377"/>
      <c r="H35" s="392"/>
      <c r="I35" s="392"/>
      <c r="J35" s="392"/>
      <c r="K35" s="377"/>
      <c r="L35" s="394"/>
    </row>
    <row r="37" spans="2:12" x14ac:dyDescent="0.25">
      <c r="C37" s="169" t="s">
        <v>597</v>
      </c>
    </row>
  </sheetData>
  <mergeCells count="7">
    <mergeCell ref="B6:B9"/>
    <mergeCell ref="C6:C9"/>
    <mergeCell ref="D6:J6"/>
    <mergeCell ref="K6:K8"/>
    <mergeCell ref="L6:L9"/>
    <mergeCell ref="D7:G7"/>
    <mergeCell ref="H7:J7"/>
  </mergeCells>
  <printOptions horizontalCentered="1"/>
  <pageMargins left="0.35433070866141703" right="0.23622047244094499" top="0.82677165354330695" bottom="0.62992125984252001" header="0.31496062992126" footer="0.196850393700787"/>
  <pageSetup paperSize="9" scale="60" fitToHeight="2"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N76"/>
  <sheetViews>
    <sheetView showGridLines="0" view="pageBreakPreview" zoomScale="70" zoomScaleNormal="60" zoomScaleSheetLayoutView="70" workbookViewId="0">
      <selection activeCell="L5" sqref="L5"/>
    </sheetView>
  </sheetViews>
  <sheetFormatPr defaultColWidth="9.33203125" defaultRowHeight="13.8" x14ac:dyDescent="0.25"/>
  <cols>
    <col min="1" max="1" width="4.6640625" style="341" customWidth="1"/>
    <col min="2" max="2" width="9.33203125" style="341" customWidth="1"/>
    <col min="3" max="3" width="16.5546875" style="341" customWidth="1"/>
    <col min="4" max="4" width="18.44140625" style="341" customWidth="1"/>
    <col min="5" max="5" width="20.6640625" style="341" customWidth="1"/>
    <col min="6" max="12" width="16.5546875" style="341" customWidth="1"/>
    <col min="13" max="13" width="16.5546875" style="343" customWidth="1"/>
    <col min="14" max="14" width="23.33203125" style="341" customWidth="1"/>
    <col min="15" max="256" width="9.33203125" style="341"/>
    <col min="257" max="257" width="4.6640625" style="341" customWidth="1"/>
    <col min="258" max="258" width="10.5546875" style="341" customWidth="1"/>
    <col min="259" max="259" width="49.33203125" style="341" customWidth="1"/>
    <col min="260" max="260" width="68.5546875" style="341" customWidth="1"/>
    <col min="261" max="261" width="35.44140625" style="341" customWidth="1"/>
    <col min="262" max="262" width="21" style="341" customWidth="1"/>
    <col min="263" max="263" width="28.44140625" style="341" customWidth="1"/>
    <col min="264" max="264" width="30.6640625" style="341" customWidth="1"/>
    <col min="265" max="265" width="29.5546875" style="341" customWidth="1"/>
    <col min="266" max="266" width="33.5546875" style="341" customWidth="1"/>
    <col min="267" max="267" width="26.5546875" style="341" customWidth="1"/>
    <col min="268" max="268" width="31.5546875" style="341" customWidth="1"/>
    <col min="269" max="269" width="34.33203125" style="341" customWidth="1"/>
    <col min="270" max="270" width="45.33203125" style="341" customWidth="1"/>
    <col min="271" max="512" width="9.33203125" style="341"/>
    <col min="513" max="513" width="4.6640625" style="341" customWidth="1"/>
    <col min="514" max="514" width="10.5546875" style="341" customWidth="1"/>
    <col min="515" max="515" width="49.33203125" style="341" customWidth="1"/>
    <col min="516" max="516" width="68.5546875" style="341" customWidth="1"/>
    <col min="517" max="517" width="35.44140625" style="341" customWidth="1"/>
    <col min="518" max="518" width="21" style="341" customWidth="1"/>
    <col min="519" max="519" width="28.44140625" style="341" customWidth="1"/>
    <col min="520" max="520" width="30.6640625" style="341" customWidth="1"/>
    <col min="521" max="521" width="29.5546875" style="341" customWidth="1"/>
    <col min="522" max="522" width="33.5546875" style="341" customWidth="1"/>
    <col min="523" max="523" width="26.5546875" style="341" customWidth="1"/>
    <col min="524" max="524" width="31.5546875" style="341" customWidth="1"/>
    <col min="525" max="525" width="34.33203125" style="341" customWidth="1"/>
    <col min="526" max="526" width="45.33203125" style="341" customWidth="1"/>
    <col min="527" max="768" width="9.33203125" style="341"/>
    <col min="769" max="769" width="4.6640625" style="341" customWidth="1"/>
    <col min="770" max="770" width="10.5546875" style="341" customWidth="1"/>
    <col min="771" max="771" width="49.33203125" style="341" customWidth="1"/>
    <col min="772" max="772" width="68.5546875" style="341" customWidth="1"/>
    <col min="773" max="773" width="35.44140625" style="341" customWidth="1"/>
    <col min="774" max="774" width="21" style="341" customWidth="1"/>
    <col min="775" max="775" width="28.44140625" style="341" customWidth="1"/>
    <col min="776" max="776" width="30.6640625" style="341" customWidth="1"/>
    <col min="777" max="777" width="29.5546875" style="341" customWidth="1"/>
    <col min="778" max="778" width="33.5546875" style="341" customWidth="1"/>
    <col min="779" max="779" width="26.5546875" style="341" customWidth="1"/>
    <col min="780" max="780" width="31.5546875" style="341" customWidth="1"/>
    <col min="781" max="781" width="34.33203125" style="341" customWidth="1"/>
    <col min="782" max="782" width="45.33203125" style="341" customWidth="1"/>
    <col min="783" max="1024" width="9.33203125" style="341"/>
    <col min="1025" max="1025" width="4.6640625" style="341" customWidth="1"/>
    <col min="1026" max="1026" width="10.5546875" style="341" customWidth="1"/>
    <col min="1027" max="1027" width="49.33203125" style="341" customWidth="1"/>
    <col min="1028" max="1028" width="68.5546875" style="341" customWidth="1"/>
    <col min="1029" max="1029" width="35.44140625" style="341" customWidth="1"/>
    <col min="1030" max="1030" width="21" style="341" customWidth="1"/>
    <col min="1031" max="1031" width="28.44140625" style="341" customWidth="1"/>
    <col min="1032" max="1032" width="30.6640625" style="341" customWidth="1"/>
    <col min="1033" max="1033" width="29.5546875" style="341" customWidth="1"/>
    <col min="1034" max="1034" width="33.5546875" style="341" customWidth="1"/>
    <col min="1035" max="1035" width="26.5546875" style="341" customWidth="1"/>
    <col min="1036" max="1036" width="31.5546875" style="341" customWidth="1"/>
    <col min="1037" max="1037" width="34.33203125" style="341" customWidth="1"/>
    <col min="1038" max="1038" width="45.33203125" style="341" customWidth="1"/>
    <col min="1039" max="1280" width="9.33203125" style="341"/>
    <col min="1281" max="1281" width="4.6640625" style="341" customWidth="1"/>
    <col min="1282" max="1282" width="10.5546875" style="341" customWidth="1"/>
    <col min="1283" max="1283" width="49.33203125" style="341" customWidth="1"/>
    <col min="1284" max="1284" width="68.5546875" style="341" customWidth="1"/>
    <col min="1285" max="1285" width="35.44140625" style="341" customWidth="1"/>
    <col min="1286" max="1286" width="21" style="341" customWidth="1"/>
    <col min="1287" max="1287" width="28.44140625" style="341" customWidth="1"/>
    <col min="1288" max="1288" width="30.6640625" style="341" customWidth="1"/>
    <col min="1289" max="1289" width="29.5546875" style="341" customWidth="1"/>
    <col min="1290" max="1290" width="33.5546875" style="341" customWidth="1"/>
    <col min="1291" max="1291" width="26.5546875" style="341" customWidth="1"/>
    <col min="1292" max="1292" width="31.5546875" style="341" customWidth="1"/>
    <col min="1293" max="1293" width="34.33203125" style="341" customWidth="1"/>
    <col min="1294" max="1294" width="45.33203125" style="341" customWidth="1"/>
    <col min="1295" max="1536" width="9.33203125" style="341"/>
    <col min="1537" max="1537" width="4.6640625" style="341" customWidth="1"/>
    <col min="1538" max="1538" width="10.5546875" style="341" customWidth="1"/>
    <col min="1539" max="1539" width="49.33203125" style="341" customWidth="1"/>
    <col min="1540" max="1540" width="68.5546875" style="341" customWidth="1"/>
    <col min="1541" max="1541" width="35.44140625" style="341" customWidth="1"/>
    <col min="1542" max="1542" width="21" style="341" customWidth="1"/>
    <col min="1543" max="1543" width="28.44140625" style="341" customWidth="1"/>
    <col min="1544" max="1544" width="30.6640625" style="341" customWidth="1"/>
    <col min="1545" max="1545" width="29.5546875" style="341" customWidth="1"/>
    <col min="1546" max="1546" width="33.5546875" style="341" customWidth="1"/>
    <col min="1547" max="1547" width="26.5546875" style="341" customWidth="1"/>
    <col min="1548" max="1548" width="31.5546875" style="341" customWidth="1"/>
    <col min="1549" max="1549" width="34.33203125" style="341" customWidth="1"/>
    <col min="1550" max="1550" width="45.33203125" style="341" customWidth="1"/>
    <col min="1551" max="1792" width="9.33203125" style="341"/>
    <col min="1793" max="1793" width="4.6640625" style="341" customWidth="1"/>
    <col min="1794" max="1794" width="10.5546875" style="341" customWidth="1"/>
    <col min="1795" max="1795" width="49.33203125" style="341" customWidth="1"/>
    <col min="1796" max="1796" width="68.5546875" style="341" customWidth="1"/>
    <col min="1797" max="1797" width="35.44140625" style="341" customWidth="1"/>
    <col min="1798" max="1798" width="21" style="341" customWidth="1"/>
    <col min="1799" max="1799" width="28.44140625" style="341" customWidth="1"/>
    <col min="1800" max="1800" width="30.6640625" style="341" customWidth="1"/>
    <col min="1801" max="1801" width="29.5546875" style="341" customWidth="1"/>
    <col min="1802" max="1802" width="33.5546875" style="341" customWidth="1"/>
    <col min="1803" max="1803" width="26.5546875" style="341" customWidth="1"/>
    <col min="1804" max="1804" width="31.5546875" style="341" customWidth="1"/>
    <col min="1805" max="1805" width="34.33203125" style="341" customWidth="1"/>
    <col min="1806" max="1806" width="45.33203125" style="341" customWidth="1"/>
    <col min="1807" max="2048" width="9.33203125" style="341"/>
    <col min="2049" max="2049" width="4.6640625" style="341" customWidth="1"/>
    <col min="2050" max="2050" width="10.5546875" style="341" customWidth="1"/>
    <col min="2051" max="2051" width="49.33203125" style="341" customWidth="1"/>
    <col min="2052" max="2052" width="68.5546875" style="341" customWidth="1"/>
    <col min="2053" max="2053" width="35.44140625" style="341" customWidth="1"/>
    <col min="2054" max="2054" width="21" style="341" customWidth="1"/>
    <col min="2055" max="2055" width="28.44140625" style="341" customWidth="1"/>
    <col min="2056" max="2056" width="30.6640625" style="341" customWidth="1"/>
    <col min="2057" max="2057" width="29.5546875" style="341" customWidth="1"/>
    <col min="2058" max="2058" width="33.5546875" style="341" customWidth="1"/>
    <col min="2059" max="2059" width="26.5546875" style="341" customWidth="1"/>
    <col min="2060" max="2060" width="31.5546875" style="341" customWidth="1"/>
    <col min="2061" max="2061" width="34.33203125" style="341" customWidth="1"/>
    <col min="2062" max="2062" width="45.33203125" style="341" customWidth="1"/>
    <col min="2063" max="2304" width="9.33203125" style="341"/>
    <col min="2305" max="2305" width="4.6640625" style="341" customWidth="1"/>
    <col min="2306" max="2306" width="10.5546875" style="341" customWidth="1"/>
    <col min="2307" max="2307" width="49.33203125" style="341" customWidth="1"/>
    <col min="2308" max="2308" width="68.5546875" style="341" customWidth="1"/>
    <col min="2309" max="2309" width="35.44140625" style="341" customWidth="1"/>
    <col min="2310" max="2310" width="21" style="341" customWidth="1"/>
    <col min="2311" max="2311" width="28.44140625" style="341" customWidth="1"/>
    <col min="2312" max="2312" width="30.6640625" style="341" customWidth="1"/>
    <col min="2313" max="2313" width="29.5546875" style="341" customWidth="1"/>
    <col min="2314" max="2314" width="33.5546875" style="341" customWidth="1"/>
    <col min="2315" max="2315" width="26.5546875" style="341" customWidth="1"/>
    <col min="2316" max="2316" width="31.5546875" style="341" customWidth="1"/>
    <col min="2317" max="2317" width="34.33203125" style="341" customWidth="1"/>
    <col min="2318" max="2318" width="45.33203125" style="341" customWidth="1"/>
    <col min="2319" max="2560" width="9.33203125" style="341"/>
    <col min="2561" max="2561" width="4.6640625" style="341" customWidth="1"/>
    <col min="2562" max="2562" width="10.5546875" style="341" customWidth="1"/>
    <col min="2563" max="2563" width="49.33203125" style="341" customWidth="1"/>
    <col min="2564" max="2564" width="68.5546875" style="341" customWidth="1"/>
    <col min="2565" max="2565" width="35.44140625" style="341" customWidth="1"/>
    <col min="2566" max="2566" width="21" style="341" customWidth="1"/>
    <col min="2567" max="2567" width="28.44140625" style="341" customWidth="1"/>
    <col min="2568" max="2568" width="30.6640625" style="341" customWidth="1"/>
    <col min="2569" max="2569" width="29.5546875" style="341" customWidth="1"/>
    <col min="2570" max="2570" width="33.5546875" style="341" customWidth="1"/>
    <col min="2571" max="2571" width="26.5546875" style="341" customWidth="1"/>
    <col min="2572" max="2572" width="31.5546875" style="341" customWidth="1"/>
    <col min="2573" max="2573" width="34.33203125" style="341" customWidth="1"/>
    <col min="2574" max="2574" width="45.33203125" style="341" customWidth="1"/>
    <col min="2575" max="2816" width="9.33203125" style="341"/>
    <col min="2817" max="2817" width="4.6640625" style="341" customWidth="1"/>
    <col min="2818" max="2818" width="10.5546875" style="341" customWidth="1"/>
    <col min="2819" max="2819" width="49.33203125" style="341" customWidth="1"/>
    <col min="2820" max="2820" width="68.5546875" style="341" customWidth="1"/>
    <col min="2821" max="2821" width="35.44140625" style="341" customWidth="1"/>
    <col min="2822" max="2822" width="21" style="341" customWidth="1"/>
    <col min="2823" max="2823" width="28.44140625" style="341" customWidth="1"/>
    <col min="2824" max="2824" width="30.6640625" style="341" customWidth="1"/>
    <col min="2825" max="2825" width="29.5546875" style="341" customWidth="1"/>
    <col min="2826" max="2826" width="33.5546875" style="341" customWidth="1"/>
    <col min="2827" max="2827" width="26.5546875" style="341" customWidth="1"/>
    <col min="2828" max="2828" width="31.5546875" style="341" customWidth="1"/>
    <col min="2829" max="2829" width="34.33203125" style="341" customWidth="1"/>
    <col min="2830" max="2830" width="45.33203125" style="341" customWidth="1"/>
    <col min="2831" max="3072" width="9.33203125" style="341"/>
    <col min="3073" max="3073" width="4.6640625" style="341" customWidth="1"/>
    <col min="3074" max="3074" width="10.5546875" style="341" customWidth="1"/>
    <col min="3075" max="3075" width="49.33203125" style="341" customWidth="1"/>
    <col min="3076" max="3076" width="68.5546875" style="341" customWidth="1"/>
    <col min="3077" max="3077" width="35.44140625" style="341" customWidth="1"/>
    <col min="3078" max="3078" width="21" style="341" customWidth="1"/>
    <col min="3079" max="3079" width="28.44140625" style="341" customWidth="1"/>
    <col min="3080" max="3080" width="30.6640625" style="341" customWidth="1"/>
    <col min="3081" max="3081" width="29.5546875" style="341" customWidth="1"/>
    <col min="3082" max="3082" width="33.5546875" style="341" customWidth="1"/>
    <col min="3083" max="3083" width="26.5546875" style="341" customWidth="1"/>
    <col min="3084" max="3084" width="31.5546875" style="341" customWidth="1"/>
    <col min="3085" max="3085" width="34.33203125" style="341" customWidth="1"/>
    <col min="3086" max="3086" width="45.33203125" style="341" customWidth="1"/>
    <col min="3087" max="3328" width="9.33203125" style="341"/>
    <col min="3329" max="3329" width="4.6640625" style="341" customWidth="1"/>
    <col min="3330" max="3330" width="10.5546875" style="341" customWidth="1"/>
    <col min="3331" max="3331" width="49.33203125" style="341" customWidth="1"/>
    <col min="3332" max="3332" width="68.5546875" style="341" customWidth="1"/>
    <col min="3333" max="3333" width="35.44140625" style="341" customWidth="1"/>
    <col min="3334" max="3334" width="21" style="341" customWidth="1"/>
    <col min="3335" max="3335" width="28.44140625" style="341" customWidth="1"/>
    <col min="3336" max="3336" width="30.6640625" style="341" customWidth="1"/>
    <col min="3337" max="3337" width="29.5546875" style="341" customWidth="1"/>
    <col min="3338" max="3338" width="33.5546875" style="341" customWidth="1"/>
    <col min="3339" max="3339" width="26.5546875" style="341" customWidth="1"/>
    <col min="3340" max="3340" width="31.5546875" style="341" customWidth="1"/>
    <col min="3341" max="3341" width="34.33203125" style="341" customWidth="1"/>
    <col min="3342" max="3342" width="45.33203125" style="341" customWidth="1"/>
    <col min="3343" max="3584" width="9.33203125" style="341"/>
    <col min="3585" max="3585" width="4.6640625" style="341" customWidth="1"/>
    <col min="3586" max="3586" width="10.5546875" style="341" customWidth="1"/>
    <col min="3587" max="3587" width="49.33203125" style="341" customWidth="1"/>
    <col min="3588" max="3588" width="68.5546875" style="341" customWidth="1"/>
    <col min="3589" max="3589" width="35.44140625" style="341" customWidth="1"/>
    <col min="3590" max="3590" width="21" style="341" customWidth="1"/>
    <col min="3591" max="3591" width="28.44140625" style="341" customWidth="1"/>
    <col min="3592" max="3592" width="30.6640625" style="341" customWidth="1"/>
    <col min="3593" max="3593" width="29.5546875" style="341" customWidth="1"/>
    <col min="3594" max="3594" width="33.5546875" style="341" customWidth="1"/>
    <col min="3595" max="3595" width="26.5546875" style="341" customWidth="1"/>
    <col min="3596" max="3596" width="31.5546875" style="341" customWidth="1"/>
    <col min="3597" max="3597" width="34.33203125" style="341" customWidth="1"/>
    <col min="3598" max="3598" width="45.33203125" style="341" customWidth="1"/>
    <col min="3599" max="3840" width="9.33203125" style="341"/>
    <col min="3841" max="3841" width="4.6640625" style="341" customWidth="1"/>
    <col min="3842" max="3842" width="10.5546875" style="341" customWidth="1"/>
    <col min="3843" max="3843" width="49.33203125" style="341" customWidth="1"/>
    <col min="3844" max="3844" width="68.5546875" style="341" customWidth="1"/>
    <col min="3845" max="3845" width="35.44140625" style="341" customWidth="1"/>
    <col min="3846" max="3846" width="21" style="341" customWidth="1"/>
    <col min="3847" max="3847" width="28.44140625" style="341" customWidth="1"/>
    <col min="3848" max="3848" width="30.6640625" style="341" customWidth="1"/>
    <col min="3849" max="3849" width="29.5546875" style="341" customWidth="1"/>
    <col min="3850" max="3850" width="33.5546875" style="341" customWidth="1"/>
    <col min="3851" max="3851" width="26.5546875" style="341" customWidth="1"/>
    <col min="3852" max="3852" width="31.5546875" style="341" customWidth="1"/>
    <col min="3853" max="3853" width="34.33203125" style="341" customWidth="1"/>
    <col min="3854" max="3854" width="45.33203125" style="341" customWidth="1"/>
    <col min="3855" max="4096" width="9.33203125" style="341"/>
    <col min="4097" max="4097" width="4.6640625" style="341" customWidth="1"/>
    <col min="4098" max="4098" width="10.5546875" style="341" customWidth="1"/>
    <col min="4099" max="4099" width="49.33203125" style="341" customWidth="1"/>
    <col min="4100" max="4100" width="68.5546875" style="341" customWidth="1"/>
    <col min="4101" max="4101" width="35.44140625" style="341" customWidth="1"/>
    <col min="4102" max="4102" width="21" style="341" customWidth="1"/>
    <col min="4103" max="4103" width="28.44140625" style="341" customWidth="1"/>
    <col min="4104" max="4104" width="30.6640625" style="341" customWidth="1"/>
    <col min="4105" max="4105" width="29.5546875" style="341" customWidth="1"/>
    <col min="4106" max="4106" width="33.5546875" style="341" customWidth="1"/>
    <col min="4107" max="4107" width="26.5546875" style="341" customWidth="1"/>
    <col min="4108" max="4108" width="31.5546875" style="341" customWidth="1"/>
    <col min="4109" max="4109" width="34.33203125" style="341" customWidth="1"/>
    <col min="4110" max="4110" width="45.33203125" style="341" customWidth="1"/>
    <col min="4111" max="4352" width="9.33203125" style="341"/>
    <col min="4353" max="4353" width="4.6640625" style="341" customWidth="1"/>
    <col min="4354" max="4354" width="10.5546875" style="341" customWidth="1"/>
    <col min="4355" max="4355" width="49.33203125" style="341" customWidth="1"/>
    <col min="4356" max="4356" width="68.5546875" style="341" customWidth="1"/>
    <col min="4357" max="4357" width="35.44140625" style="341" customWidth="1"/>
    <col min="4358" max="4358" width="21" style="341" customWidth="1"/>
    <col min="4359" max="4359" width="28.44140625" style="341" customWidth="1"/>
    <col min="4360" max="4360" width="30.6640625" style="341" customWidth="1"/>
    <col min="4361" max="4361" width="29.5546875" style="341" customWidth="1"/>
    <col min="4362" max="4362" width="33.5546875" style="341" customWidth="1"/>
    <col min="4363" max="4363" width="26.5546875" style="341" customWidth="1"/>
    <col min="4364" max="4364" width="31.5546875" style="341" customWidth="1"/>
    <col min="4365" max="4365" width="34.33203125" style="341" customWidth="1"/>
    <col min="4366" max="4366" width="45.33203125" style="341" customWidth="1"/>
    <col min="4367" max="4608" width="9.33203125" style="341"/>
    <col min="4609" max="4609" width="4.6640625" style="341" customWidth="1"/>
    <col min="4610" max="4610" width="10.5546875" style="341" customWidth="1"/>
    <col min="4611" max="4611" width="49.33203125" style="341" customWidth="1"/>
    <col min="4612" max="4612" width="68.5546875" style="341" customWidth="1"/>
    <col min="4613" max="4613" width="35.44140625" style="341" customWidth="1"/>
    <col min="4614" max="4614" width="21" style="341" customWidth="1"/>
    <col min="4615" max="4615" width="28.44140625" style="341" customWidth="1"/>
    <col min="4616" max="4616" width="30.6640625" style="341" customWidth="1"/>
    <col min="4617" max="4617" width="29.5546875" style="341" customWidth="1"/>
    <col min="4618" max="4618" width="33.5546875" style="341" customWidth="1"/>
    <col min="4619" max="4619" width="26.5546875" style="341" customWidth="1"/>
    <col min="4620" max="4620" width="31.5546875" style="341" customWidth="1"/>
    <col min="4621" max="4621" width="34.33203125" style="341" customWidth="1"/>
    <col min="4622" max="4622" width="45.33203125" style="341" customWidth="1"/>
    <col min="4623" max="4864" width="9.33203125" style="341"/>
    <col min="4865" max="4865" width="4.6640625" style="341" customWidth="1"/>
    <col min="4866" max="4866" width="10.5546875" style="341" customWidth="1"/>
    <col min="4867" max="4867" width="49.33203125" style="341" customWidth="1"/>
    <col min="4868" max="4868" width="68.5546875" style="341" customWidth="1"/>
    <col min="4869" max="4869" width="35.44140625" style="341" customWidth="1"/>
    <col min="4870" max="4870" width="21" style="341" customWidth="1"/>
    <col min="4871" max="4871" width="28.44140625" style="341" customWidth="1"/>
    <col min="4872" max="4872" width="30.6640625" style="341" customWidth="1"/>
    <col min="4873" max="4873" width="29.5546875" style="341" customWidth="1"/>
    <col min="4874" max="4874" width="33.5546875" style="341" customWidth="1"/>
    <col min="4875" max="4875" width="26.5546875" style="341" customWidth="1"/>
    <col min="4876" max="4876" width="31.5546875" style="341" customWidth="1"/>
    <col min="4877" max="4877" width="34.33203125" style="341" customWidth="1"/>
    <col min="4878" max="4878" width="45.33203125" style="341" customWidth="1"/>
    <col min="4879" max="5120" width="9.33203125" style="341"/>
    <col min="5121" max="5121" width="4.6640625" style="341" customWidth="1"/>
    <col min="5122" max="5122" width="10.5546875" style="341" customWidth="1"/>
    <col min="5123" max="5123" width="49.33203125" style="341" customWidth="1"/>
    <col min="5124" max="5124" width="68.5546875" style="341" customWidth="1"/>
    <col min="5125" max="5125" width="35.44140625" style="341" customWidth="1"/>
    <col min="5126" max="5126" width="21" style="341" customWidth="1"/>
    <col min="5127" max="5127" width="28.44140625" style="341" customWidth="1"/>
    <col min="5128" max="5128" width="30.6640625" style="341" customWidth="1"/>
    <col min="5129" max="5129" width="29.5546875" style="341" customWidth="1"/>
    <col min="5130" max="5130" width="33.5546875" style="341" customWidth="1"/>
    <col min="5131" max="5131" width="26.5546875" style="341" customWidth="1"/>
    <col min="5132" max="5132" width="31.5546875" style="341" customWidth="1"/>
    <col min="5133" max="5133" width="34.33203125" style="341" customWidth="1"/>
    <col min="5134" max="5134" width="45.33203125" style="341" customWidth="1"/>
    <col min="5135" max="5376" width="9.33203125" style="341"/>
    <col min="5377" max="5377" width="4.6640625" style="341" customWidth="1"/>
    <col min="5378" max="5378" width="10.5546875" style="341" customWidth="1"/>
    <col min="5379" max="5379" width="49.33203125" style="341" customWidth="1"/>
    <col min="5380" max="5380" width="68.5546875" style="341" customWidth="1"/>
    <col min="5381" max="5381" width="35.44140625" style="341" customWidth="1"/>
    <col min="5382" max="5382" width="21" style="341" customWidth="1"/>
    <col min="5383" max="5383" width="28.44140625" style="341" customWidth="1"/>
    <col min="5384" max="5384" width="30.6640625" style="341" customWidth="1"/>
    <col min="5385" max="5385" width="29.5546875" style="341" customWidth="1"/>
    <col min="5386" max="5386" width="33.5546875" style="341" customWidth="1"/>
    <col min="5387" max="5387" width="26.5546875" style="341" customWidth="1"/>
    <col min="5388" max="5388" width="31.5546875" style="341" customWidth="1"/>
    <col min="5389" max="5389" width="34.33203125" style="341" customWidth="1"/>
    <col min="5390" max="5390" width="45.33203125" style="341" customWidth="1"/>
    <col min="5391" max="5632" width="9.33203125" style="341"/>
    <col min="5633" max="5633" width="4.6640625" style="341" customWidth="1"/>
    <col min="5634" max="5634" width="10.5546875" style="341" customWidth="1"/>
    <col min="5635" max="5635" width="49.33203125" style="341" customWidth="1"/>
    <col min="5636" max="5636" width="68.5546875" style="341" customWidth="1"/>
    <col min="5637" max="5637" width="35.44140625" style="341" customWidth="1"/>
    <col min="5638" max="5638" width="21" style="341" customWidth="1"/>
    <col min="5639" max="5639" width="28.44140625" style="341" customWidth="1"/>
    <col min="5640" max="5640" width="30.6640625" style="341" customWidth="1"/>
    <col min="5641" max="5641" width="29.5546875" style="341" customWidth="1"/>
    <col min="5642" max="5642" width="33.5546875" style="341" customWidth="1"/>
    <col min="5643" max="5643" width="26.5546875" style="341" customWidth="1"/>
    <col min="5644" max="5644" width="31.5546875" style="341" customWidth="1"/>
    <col min="5645" max="5645" width="34.33203125" style="341" customWidth="1"/>
    <col min="5646" max="5646" width="45.33203125" style="341" customWidth="1"/>
    <col min="5647" max="5888" width="9.33203125" style="341"/>
    <col min="5889" max="5889" width="4.6640625" style="341" customWidth="1"/>
    <col min="5890" max="5890" width="10.5546875" style="341" customWidth="1"/>
    <col min="5891" max="5891" width="49.33203125" style="341" customWidth="1"/>
    <col min="5892" max="5892" width="68.5546875" style="341" customWidth="1"/>
    <col min="5893" max="5893" width="35.44140625" style="341" customWidth="1"/>
    <col min="5894" max="5894" width="21" style="341" customWidth="1"/>
    <col min="5895" max="5895" width="28.44140625" style="341" customWidth="1"/>
    <col min="5896" max="5896" width="30.6640625" style="341" customWidth="1"/>
    <col min="5897" max="5897" width="29.5546875" style="341" customWidth="1"/>
    <col min="5898" max="5898" width="33.5546875" style="341" customWidth="1"/>
    <col min="5899" max="5899" width="26.5546875" style="341" customWidth="1"/>
    <col min="5900" max="5900" width="31.5546875" style="341" customWidth="1"/>
    <col min="5901" max="5901" width="34.33203125" style="341" customWidth="1"/>
    <col min="5902" max="5902" width="45.33203125" style="341" customWidth="1"/>
    <col min="5903" max="6144" width="9.33203125" style="341"/>
    <col min="6145" max="6145" width="4.6640625" style="341" customWidth="1"/>
    <col min="6146" max="6146" width="10.5546875" style="341" customWidth="1"/>
    <col min="6147" max="6147" width="49.33203125" style="341" customWidth="1"/>
    <col min="6148" max="6148" width="68.5546875" style="341" customWidth="1"/>
    <col min="6149" max="6149" width="35.44140625" style="341" customWidth="1"/>
    <col min="6150" max="6150" width="21" style="341" customWidth="1"/>
    <col min="6151" max="6151" width="28.44140625" style="341" customWidth="1"/>
    <col min="6152" max="6152" width="30.6640625" style="341" customWidth="1"/>
    <col min="6153" max="6153" width="29.5546875" style="341" customWidth="1"/>
    <col min="6154" max="6154" width="33.5546875" style="341" customWidth="1"/>
    <col min="6155" max="6155" width="26.5546875" style="341" customWidth="1"/>
    <col min="6156" max="6156" width="31.5546875" style="341" customWidth="1"/>
    <col min="6157" max="6157" width="34.33203125" style="341" customWidth="1"/>
    <col min="6158" max="6158" width="45.33203125" style="341" customWidth="1"/>
    <col min="6159" max="6400" width="9.33203125" style="341"/>
    <col min="6401" max="6401" width="4.6640625" style="341" customWidth="1"/>
    <col min="6402" max="6402" width="10.5546875" style="341" customWidth="1"/>
    <col min="6403" max="6403" width="49.33203125" style="341" customWidth="1"/>
    <col min="6404" max="6404" width="68.5546875" style="341" customWidth="1"/>
    <col min="6405" max="6405" width="35.44140625" style="341" customWidth="1"/>
    <col min="6406" max="6406" width="21" style="341" customWidth="1"/>
    <col min="6407" max="6407" width="28.44140625" style="341" customWidth="1"/>
    <col min="6408" max="6408" width="30.6640625" style="341" customWidth="1"/>
    <col min="6409" max="6409" width="29.5546875" style="341" customWidth="1"/>
    <col min="6410" max="6410" width="33.5546875" style="341" customWidth="1"/>
    <col min="6411" max="6411" width="26.5546875" style="341" customWidth="1"/>
    <col min="6412" max="6412" width="31.5546875" style="341" customWidth="1"/>
    <col min="6413" max="6413" width="34.33203125" style="341" customWidth="1"/>
    <col min="6414" max="6414" width="45.33203125" style="341" customWidth="1"/>
    <col min="6415" max="6656" width="9.33203125" style="341"/>
    <col min="6657" max="6657" width="4.6640625" style="341" customWidth="1"/>
    <col min="6658" max="6658" width="10.5546875" style="341" customWidth="1"/>
    <col min="6659" max="6659" width="49.33203125" style="341" customWidth="1"/>
    <col min="6660" max="6660" width="68.5546875" style="341" customWidth="1"/>
    <col min="6661" max="6661" width="35.44140625" style="341" customWidth="1"/>
    <col min="6662" max="6662" width="21" style="341" customWidth="1"/>
    <col min="6663" max="6663" width="28.44140625" style="341" customWidth="1"/>
    <col min="6664" max="6664" width="30.6640625" style="341" customWidth="1"/>
    <col min="6665" max="6665" width="29.5546875" style="341" customWidth="1"/>
    <col min="6666" max="6666" width="33.5546875" style="341" customWidth="1"/>
    <col min="6667" max="6667" width="26.5546875" style="341" customWidth="1"/>
    <col min="6668" max="6668" width="31.5546875" style="341" customWidth="1"/>
    <col min="6669" max="6669" width="34.33203125" style="341" customWidth="1"/>
    <col min="6670" max="6670" width="45.33203125" style="341" customWidth="1"/>
    <col min="6671" max="6912" width="9.33203125" style="341"/>
    <col min="6913" max="6913" width="4.6640625" style="341" customWidth="1"/>
    <col min="6914" max="6914" width="10.5546875" style="341" customWidth="1"/>
    <col min="6915" max="6915" width="49.33203125" style="341" customWidth="1"/>
    <col min="6916" max="6916" width="68.5546875" style="341" customWidth="1"/>
    <col min="6917" max="6917" width="35.44140625" style="341" customWidth="1"/>
    <col min="6918" max="6918" width="21" style="341" customWidth="1"/>
    <col min="6919" max="6919" width="28.44140625" style="341" customWidth="1"/>
    <col min="6920" max="6920" width="30.6640625" style="341" customWidth="1"/>
    <col min="6921" max="6921" width="29.5546875" style="341" customWidth="1"/>
    <col min="6922" max="6922" width="33.5546875" style="341" customWidth="1"/>
    <col min="6923" max="6923" width="26.5546875" style="341" customWidth="1"/>
    <col min="6924" max="6924" width="31.5546875" style="341" customWidth="1"/>
    <col min="6925" max="6925" width="34.33203125" style="341" customWidth="1"/>
    <col min="6926" max="6926" width="45.33203125" style="341" customWidth="1"/>
    <col min="6927" max="7168" width="9.33203125" style="341"/>
    <col min="7169" max="7169" width="4.6640625" style="341" customWidth="1"/>
    <col min="7170" max="7170" width="10.5546875" style="341" customWidth="1"/>
    <col min="7171" max="7171" width="49.33203125" style="341" customWidth="1"/>
    <col min="7172" max="7172" width="68.5546875" style="341" customWidth="1"/>
    <col min="7173" max="7173" width="35.44140625" style="341" customWidth="1"/>
    <col min="7174" max="7174" width="21" style="341" customWidth="1"/>
    <col min="7175" max="7175" width="28.44140625" style="341" customWidth="1"/>
    <col min="7176" max="7176" width="30.6640625" style="341" customWidth="1"/>
    <col min="7177" max="7177" width="29.5546875" style="341" customWidth="1"/>
    <col min="7178" max="7178" width="33.5546875" style="341" customWidth="1"/>
    <col min="7179" max="7179" width="26.5546875" style="341" customWidth="1"/>
    <col min="7180" max="7180" width="31.5546875" style="341" customWidth="1"/>
    <col min="7181" max="7181" width="34.33203125" style="341" customWidth="1"/>
    <col min="7182" max="7182" width="45.33203125" style="341" customWidth="1"/>
    <col min="7183" max="7424" width="9.33203125" style="341"/>
    <col min="7425" max="7425" width="4.6640625" style="341" customWidth="1"/>
    <col min="7426" max="7426" width="10.5546875" style="341" customWidth="1"/>
    <col min="7427" max="7427" width="49.33203125" style="341" customWidth="1"/>
    <col min="7428" max="7428" width="68.5546875" style="341" customWidth="1"/>
    <col min="7429" max="7429" width="35.44140625" style="341" customWidth="1"/>
    <col min="7430" max="7430" width="21" style="341" customWidth="1"/>
    <col min="7431" max="7431" width="28.44140625" style="341" customWidth="1"/>
    <col min="7432" max="7432" width="30.6640625" style="341" customWidth="1"/>
    <col min="7433" max="7433" width="29.5546875" style="341" customWidth="1"/>
    <col min="7434" max="7434" width="33.5546875" style="341" customWidth="1"/>
    <col min="7435" max="7435" width="26.5546875" style="341" customWidth="1"/>
    <col min="7436" max="7436" width="31.5546875" style="341" customWidth="1"/>
    <col min="7437" max="7437" width="34.33203125" style="341" customWidth="1"/>
    <col min="7438" max="7438" width="45.33203125" style="341" customWidth="1"/>
    <col min="7439" max="7680" width="9.33203125" style="341"/>
    <col min="7681" max="7681" width="4.6640625" style="341" customWidth="1"/>
    <col min="7682" max="7682" width="10.5546875" style="341" customWidth="1"/>
    <col min="7683" max="7683" width="49.33203125" style="341" customWidth="1"/>
    <col min="7684" max="7684" width="68.5546875" style="341" customWidth="1"/>
    <col min="7685" max="7685" width="35.44140625" style="341" customWidth="1"/>
    <col min="7686" max="7686" width="21" style="341" customWidth="1"/>
    <col min="7687" max="7687" width="28.44140625" style="341" customWidth="1"/>
    <col min="7688" max="7688" width="30.6640625" style="341" customWidth="1"/>
    <col min="7689" max="7689" width="29.5546875" style="341" customWidth="1"/>
    <col min="7690" max="7690" width="33.5546875" style="341" customWidth="1"/>
    <col min="7691" max="7691" width="26.5546875" style="341" customWidth="1"/>
    <col min="7692" max="7692" width="31.5546875" style="341" customWidth="1"/>
    <col min="7693" max="7693" width="34.33203125" style="341" customWidth="1"/>
    <col min="7694" max="7694" width="45.33203125" style="341" customWidth="1"/>
    <col min="7695" max="7936" width="9.33203125" style="341"/>
    <col min="7937" max="7937" width="4.6640625" style="341" customWidth="1"/>
    <col min="7938" max="7938" width="10.5546875" style="341" customWidth="1"/>
    <col min="7939" max="7939" width="49.33203125" style="341" customWidth="1"/>
    <col min="7940" max="7940" width="68.5546875" style="341" customWidth="1"/>
    <col min="7941" max="7941" width="35.44140625" style="341" customWidth="1"/>
    <col min="7942" max="7942" width="21" style="341" customWidth="1"/>
    <col min="7943" max="7943" width="28.44140625" style="341" customWidth="1"/>
    <col min="7944" max="7944" width="30.6640625" style="341" customWidth="1"/>
    <col min="7945" max="7945" width="29.5546875" style="341" customWidth="1"/>
    <col min="7946" max="7946" width="33.5546875" style="341" customWidth="1"/>
    <col min="7947" max="7947" width="26.5546875" style="341" customWidth="1"/>
    <col min="7948" max="7948" width="31.5546875" style="341" customWidth="1"/>
    <col min="7949" max="7949" width="34.33203125" style="341" customWidth="1"/>
    <col min="7950" max="7950" width="45.33203125" style="341" customWidth="1"/>
    <col min="7951" max="8192" width="9.33203125" style="341"/>
    <col min="8193" max="8193" width="4.6640625" style="341" customWidth="1"/>
    <col min="8194" max="8194" width="10.5546875" style="341" customWidth="1"/>
    <col min="8195" max="8195" width="49.33203125" style="341" customWidth="1"/>
    <col min="8196" max="8196" width="68.5546875" style="341" customWidth="1"/>
    <col min="8197" max="8197" width="35.44140625" style="341" customWidth="1"/>
    <col min="8198" max="8198" width="21" style="341" customWidth="1"/>
    <col min="8199" max="8199" width="28.44140625" style="341" customWidth="1"/>
    <col min="8200" max="8200" width="30.6640625" style="341" customWidth="1"/>
    <col min="8201" max="8201" width="29.5546875" style="341" customWidth="1"/>
    <col min="8202" max="8202" width="33.5546875" style="341" customWidth="1"/>
    <col min="8203" max="8203" width="26.5546875" style="341" customWidth="1"/>
    <col min="8204" max="8204" width="31.5546875" style="341" customWidth="1"/>
    <col min="8205" max="8205" width="34.33203125" style="341" customWidth="1"/>
    <col min="8206" max="8206" width="45.33203125" style="341" customWidth="1"/>
    <col min="8207" max="8448" width="9.33203125" style="341"/>
    <col min="8449" max="8449" width="4.6640625" style="341" customWidth="1"/>
    <col min="8450" max="8450" width="10.5546875" style="341" customWidth="1"/>
    <col min="8451" max="8451" width="49.33203125" style="341" customWidth="1"/>
    <col min="8452" max="8452" width="68.5546875" style="341" customWidth="1"/>
    <col min="8453" max="8453" width="35.44140625" style="341" customWidth="1"/>
    <col min="8454" max="8454" width="21" style="341" customWidth="1"/>
    <col min="8455" max="8455" width="28.44140625" style="341" customWidth="1"/>
    <col min="8456" max="8456" width="30.6640625" style="341" customWidth="1"/>
    <col min="8457" max="8457" width="29.5546875" style="341" customWidth="1"/>
    <col min="8458" max="8458" width="33.5546875" style="341" customWidth="1"/>
    <col min="8459" max="8459" width="26.5546875" style="341" customWidth="1"/>
    <col min="8460" max="8460" width="31.5546875" style="341" customWidth="1"/>
    <col min="8461" max="8461" width="34.33203125" style="341" customWidth="1"/>
    <col min="8462" max="8462" width="45.33203125" style="341" customWidth="1"/>
    <col min="8463" max="8704" width="9.33203125" style="341"/>
    <col min="8705" max="8705" width="4.6640625" style="341" customWidth="1"/>
    <col min="8706" max="8706" width="10.5546875" style="341" customWidth="1"/>
    <col min="8707" max="8707" width="49.33203125" style="341" customWidth="1"/>
    <col min="8708" max="8708" width="68.5546875" style="341" customWidth="1"/>
    <col min="8709" max="8709" width="35.44140625" style="341" customWidth="1"/>
    <col min="8710" max="8710" width="21" style="341" customWidth="1"/>
    <col min="8711" max="8711" width="28.44140625" style="341" customWidth="1"/>
    <col min="8712" max="8712" width="30.6640625" style="341" customWidth="1"/>
    <col min="8713" max="8713" width="29.5546875" style="341" customWidth="1"/>
    <col min="8714" max="8714" width="33.5546875" style="341" customWidth="1"/>
    <col min="8715" max="8715" width="26.5546875" style="341" customWidth="1"/>
    <col min="8716" max="8716" width="31.5546875" style="341" customWidth="1"/>
    <col min="8717" max="8717" width="34.33203125" style="341" customWidth="1"/>
    <col min="8718" max="8718" width="45.33203125" style="341" customWidth="1"/>
    <col min="8719" max="8960" width="9.33203125" style="341"/>
    <col min="8961" max="8961" width="4.6640625" style="341" customWidth="1"/>
    <col min="8962" max="8962" width="10.5546875" style="341" customWidth="1"/>
    <col min="8963" max="8963" width="49.33203125" style="341" customWidth="1"/>
    <col min="8964" max="8964" width="68.5546875" style="341" customWidth="1"/>
    <col min="8965" max="8965" width="35.44140625" style="341" customWidth="1"/>
    <col min="8966" max="8966" width="21" style="341" customWidth="1"/>
    <col min="8967" max="8967" width="28.44140625" style="341" customWidth="1"/>
    <col min="8968" max="8968" width="30.6640625" style="341" customWidth="1"/>
    <col min="8969" max="8969" width="29.5546875" style="341" customWidth="1"/>
    <col min="8970" max="8970" width="33.5546875" style="341" customWidth="1"/>
    <col min="8971" max="8971" width="26.5546875" style="341" customWidth="1"/>
    <col min="8972" max="8972" width="31.5546875" style="341" customWidth="1"/>
    <col min="8973" max="8973" width="34.33203125" style="341" customWidth="1"/>
    <col min="8974" max="8974" width="45.33203125" style="341" customWidth="1"/>
    <col min="8975" max="9216" width="9.33203125" style="341"/>
    <col min="9217" max="9217" width="4.6640625" style="341" customWidth="1"/>
    <col min="9218" max="9218" width="10.5546875" style="341" customWidth="1"/>
    <col min="9219" max="9219" width="49.33203125" style="341" customWidth="1"/>
    <col min="9220" max="9220" width="68.5546875" style="341" customWidth="1"/>
    <col min="9221" max="9221" width="35.44140625" style="341" customWidth="1"/>
    <col min="9222" max="9222" width="21" style="341" customWidth="1"/>
    <col min="9223" max="9223" width="28.44140625" style="341" customWidth="1"/>
    <col min="9224" max="9224" width="30.6640625" style="341" customWidth="1"/>
    <col min="9225" max="9225" width="29.5546875" style="341" customWidth="1"/>
    <col min="9226" max="9226" width="33.5546875" style="341" customWidth="1"/>
    <col min="9227" max="9227" width="26.5546875" style="341" customWidth="1"/>
    <col min="9228" max="9228" width="31.5546875" style="341" customWidth="1"/>
    <col min="9229" max="9229" width="34.33203125" style="341" customWidth="1"/>
    <col min="9230" max="9230" width="45.33203125" style="341" customWidth="1"/>
    <col min="9231" max="9472" width="9.33203125" style="341"/>
    <col min="9473" max="9473" width="4.6640625" style="341" customWidth="1"/>
    <col min="9474" max="9474" width="10.5546875" style="341" customWidth="1"/>
    <col min="9475" max="9475" width="49.33203125" style="341" customWidth="1"/>
    <col min="9476" max="9476" width="68.5546875" style="341" customWidth="1"/>
    <col min="9477" max="9477" width="35.44140625" style="341" customWidth="1"/>
    <col min="9478" max="9478" width="21" style="341" customWidth="1"/>
    <col min="9479" max="9479" width="28.44140625" style="341" customWidth="1"/>
    <col min="9480" max="9480" width="30.6640625" style="341" customWidth="1"/>
    <col min="9481" max="9481" width="29.5546875" style="341" customWidth="1"/>
    <col min="9482" max="9482" width="33.5546875" style="341" customWidth="1"/>
    <col min="9483" max="9483" width="26.5546875" style="341" customWidth="1"/>
    <col min="9484" max="9484" width="31.5546875" style="341" customWidth="1"/>
    <col min="9485" max="9485" width="34.33203125" style="341" customWidth="1"/>
    <col min="9486" max="9486" width="45.33203125" style="341" customWidth="1"/>
    <col min="9487" max="9728" width="9.33203125" style="341"/>
    <col min="9729" max="9729" width="4.6640625" style="341" customWidth="1"/>
    <col min="9730" max="9730" width="10.5546875" style="341" customWidth="1"/>
    <col min="9731" max="9731" width="49.33203125" style="341" customWidth="1"/>
    <col min="9732" max="9732" width="68.5546875" style="341" customWidth="1"/>
    <col min="9733" max="9733" width="35.44140625" style="341" customWidth="1"/>
    <col min="9734" max="9734" width="21" style="341" customWidth="1"/>
    <col min="9735" max="9735" width="28.44140625" style="341" customWidth="1"/>
    <col min="9736" max="9736" width="30.6640625" style="341" customWidth="1"/>
    <col min="9737" max="9737" width="29.5546875" style="341" customWidth="1"/>
    <col min="9738" max="9738" width="33.5546875" style="341" customWidth="1"/>
    <col min="9739" max="9739" width="26.5546875" style="341" customWidth="1"/>
    <col min="9740" max="9740" width="31.5546875" style="341" customWidth="1"/>
    <col min="9741" max="9741" width="34.33203125" style="341" customWidth="1"/>
    <col min="9742" max="9742" width="45.33203125" style="341" customWidth="1"/>
    <col min="9743" max="9984" width="9.33203125" style="341"/>
    <col min="9985" max="9985" width="4.6640625" style="341" customWidth="1"/>
    <col min="9986" max="9986" width="10.5546875" style="341" customWidth="1"/>
    <col min="9987" max="9987" width="49.33203125" style="341" customWidth="1"/>
    <col min="9988" max="9988" width="68.5546875" style="341" customWidth="1"/>
    <col min="9989" max="9989" width="35.44140625" style="341" customWidth="1"/>
    <col min="9990" max="9990" width="21" style="341" customWidth="1"/>
    <col min="9991" max="9991" width="28.44140625" style="341" customWidth="1"/>
    <col min="9992" max="9992" width="30.6640625" style="341" customWidth="1"/>
    <col min="9993" max="9993" width="29.5546875" style="341" customWidth="1"/>
    <col min="9994" max="9994" width="33.5546875" style="341" customWidth="1"/>
    <col min="9995" max="9995" width="26.5546875" style="341" customWidth="1"/>
    <col min="9996" max="9996" width="31.5546875" style="341" customWidth="1"/>
    <col min="9997" max="9997" width="34.33203125" style="341" customWidth="1"/>
    <col min="9998" max="9998" width="45.33203125" style="341" customWidth="1"/>
    <col min="9999" max="10240" width="9.33203125" style="341"/>
    <col min="10241" max="10241" width="4.6640625" style="341" customWidth="1"/>
    <col min="10242" max="10242" width="10.5546875" style="341" customWidth="1"/>
    <col min="10243" max="10243" width="49.33203125" style="341" customWidth="1"/>
    <col min="10244" max="10244" width="68.5546875" style="341" customWidth="1"/>
    <col min="10245" max="10245" width="35.44140625" style="341" customWidth="1"/>
    <col min="10246" max="10246" width="21" style="341" customWidth="1"/>
    <col min="10247" max="10247" width="28.44140625" style="341" customWidth="1"/>
    <col min="10248" max="10248" width="30.6640625" style="341" customWidth="1"/>
    <col min="10249" max="10249" width="29.5546875" style="341" customWidth="1"/>
    <col min="10250" max="10250" width="33.5546875" style="341" customWidth="1"/>
    <col min="10251" max="10251" width="26.5546875" style="341" customWidth="1"/>
    <col min="10252" max="10252" width="31.5546875" style="341" customWidth="1"/>
    <col min="10253" max="10253" width="34.33203125" style="341" customWidth="1"/>
    <col min="10254" max="10254" width="45.33203125" style="341" customWidth="1"/>
    <col min="10255" max="10496" width="9.33203125" style="341"/>
    <col min="10497" max="10497" width="4.6640625" style="341" customWidth="1"/>
    <col min="10498" max="10498" width="10.5546875" style="341" customWidth="1"/>
    <col min="10499" max="10499" width="49.33203125" style="341" customWidth="1"/>
    <col min="10500" max="10500" width="68.5546875" style="341" customWidth="1"/>
    <col min="10501" max="10501" width="35.44140625" style="341" customWidth="1"/>
    <col min="10502" max="10502" width="21" style="341" customWidth="1"/>
    <col min="10503" max="10503" width="28.44140625" style="341" customWidth="1"/>
    <col min="10504" max="10504" width="30.6640625" style="341" customWidth="1"/>
    <col min="10505" max="10505" width="29.5546875" style="341" customWidth="1"/>
    <col min="10506" max="10506" width="33.5546875" style="341" customWidth="1"/>
    <col min="10507" max="10507" width="26.5546875" style="341" customWidth="1"/>
    <col min="10508" max="10508" width="31.5546875" style="341" customWidth="1"/>
    <col min="10509" max="10509" width="34.33203125" style="341" customWidth="1"/>
    <col min="10510" max="10510" width="45.33203125" style="341" customWidth="1"/>
    <col min="10511" max="10752" width="9.33203125" style="341"/>
    <col min="10753" max="10753" width="4.6640625" style="341" customWidth="1"/>
    <col min="10754" max="10754" width="10.5546875" style="341" customWidth="1"/>
    <col min="10755" max="10755" width="49.33203125" style="341" customWidth="1"/>
    <col min="10756" max="10756" width="68.5546875" style="341" customWidth="1"/>
    <col min="10757" max="10757" width="35.44140625" style="341" customWidth="1"/>
    <col min="10758" max="10758" width="21" style="341" customWidth="1"/>
    <col min="10759" max="10759" width="28.44140625" style="341" customWidth="1"/>
    <col min="10760" max="10760" width="30.6640625" style="341" customWidth="1"/>
    <col min="10761" max="10761" width="29.5546875" style="341" customWidth="1"/>
    <col min="10762" max="10762" width="33.5546875" style="341" customWidth="1"/>
    <col min="10763" max="10763" width="26.5546875" style="341" customWidth="1"/>
    <col min="10764" max="10764" width="31.5546875" style="341" customWidth="1"/>
    <col min="10765" max="10765" width="34.33203125" style="341" customWidth="1"/>
    <col min="10766" max="10766" width="45.33203125" style="341" customWidth="1"/>
    <col min="10767" max="11008" width="9.33203125" style="341"/>
    <col min="11009" max="11009" width="4.6640625" style="341" customWidth="1"/>
    <col min="11010" max="11010" width="10.5546875" style="341" customWidth="1"/>
    <col min="11011" max="11011" width="49.33203125" style="341" customWidth="1"/>
    <col min="11012" max="11012" width="68.5546875" style="341" customWidth="1"/>
    <col min="11013" max="11013" width="35.44140625" style="341" customWidth="1"/>
    <col min="11014" max="11014" width="21" style="341" customWidth="1"/>
    <col min="11015" max="11015" width="28.44140625" style="341" customWidth="1"/>
    <col min="11016" max="11016" width="30.6640625" style="341" customWidth="1"/>
    <col min="11017" max="11017" width="29.5546875" style="341" customWidth="1"/>
    <col min="11018" max="11018" width="33.5546875" style="341" customWidth="1"/>
    <col min="11019" max="11019" width="26.5546875" style="341" customWidth="1"/>
    <col min="11020" max="11020" width="31.5546875" style="341" customWidth="1"/>
    <col min="11021" max="11021" width="34.33203125" style="341" customWidth="1"/>
    <col min="11022" max="11022" width="45.33203125" style="341" customWidth="1"/>
    <col min="11023" max="11264" width="9.33203125" style="341"/>
    <col min="11265" max="11265" width="4.6640625" style="341" customWidth="1"/>
    <col min="11266" max="11266" width="10.5546875" style="341" customWidth="1"/>
    <col min="11267" max="11267" width="49.33203125" style="341" customWidth="1"/>
    <col min="11268" max="11268" width="68.5546875" style="341" customWidth="1"/>
    <col min="11269" max="11269" width="35.44140625" style="341" customWidth="1"/>
    <col min="11270" max="11270" width="21" style="341" customWidth="1"/>
    <col min="11271" max="11271" width="28.44140625" style="341" customWidth="1"/>
    <col min="11272" max="11272" width="30.6640625" style="341" customWidth="1"/>
    <col min="11273" max="11273" width="29.5546875" style="341" customWidth="1"/>
    <col min="11274" max="11274" width="33.5546875" style="341" customWidth="1"/>
    <col min="11275" max="11275" width="26.5546875" style="341" customWidth="1"/>
    <col min="11276" max="11276" width="31.5546875" style="341" customWidth="1"/>
    <col min="11277" max="11277" width="34.33203125" style="341" customWidth="1"/>
    <col min="11278" max="11278" width="45.33203125" style="341" customWidth="1"/>
    <col min="11279" max="11520" width="9.33203125" style="341"/>
    <col min="11521" max="11521" width="4.6640625" style="341" customWidth="1"/>
    <col min="11522" max="11522" width="10.5546875" style="341" customWidth="1"/>
    <col min="11523" max="11523" width="49.33203125" style="341" customWidth="1"/>
    <col min="11524" max="11524" width="68.5546875" style="341" customWidth="1"/>
    <col min="11525" max="11525" width="35.44140625" style="341" customWidth="1"/>
    <col min="11526" max="11526" width="21" style="341" customWidth="1"/>
    <col min="11527" max="11527" width="28.44140625" style="341" customWidth="1"/>
    <col min="11528" max="11528" width="30.6640625" style="341" customWidth="1"/>
    <col min="11529" max="11529" width="29.5546875" style="341" customWidth="1"/>
    <col min="11530" max="11530" width="33.5546875" style="341" customWidth="1"/>
    <col min="11531" max="11531" width="26.5546875" style="341" customWidth="1"/>
    <col min="11532" max="11532" width="31.5546875" style="341" customWidth="1"/>
    <col min="11533" max="11533" width="34.33203125" style="341" customWidth="1"/>
    <col min="11534" max="11534" width="45.33203125" style="341" customWidth="1"/>
    <col min="11535" max="11776" width="9.33203125" style="341"/>
    <col min="11777" max="11777" width="4.6640625" style="341" customWidth="1"/>
    <col min="11778" max="11778" width="10.5546875" style="341" customWidth="1"/>
    <col min="11779" max="11779" width="49.33203125" style="341" customWidth="1"/>
    <col min="11780" max="11780" width="68.5546875" style="341" customWidth="1"/>
    <col min="11781" max="11781" width="35.44140625" style="341" customWidth="1"/>
    <col min="11782" max="11782" width="21" style="341" customWidth="1"/>
    <col min="11783" max="11783" width="28.44140625" style="341" customWidth="1"/>
    <col min="11784" max="11784" width="30.6640625" style="341" customWidth="1"/>
    <col min="11785" max="11785" width="29.5546875" style="341" customWidth="1"/>
    <col min="11786" max="11786" width="33.5546875" style="341" customWidth="1"/>
    <col min="11787" max="11787" width="26.5546875" style="341" customWidth="1"/>
    <col min="11788" max="11788" width="31.5546875" style="341" customWidth="1"/>
    <col min="11789" max="11789" width="34.33203125" style="341" customWidth="1"/>
    <col min="11790" max="11790" width="45.33203125" style="341" customWidth="1"/>
    <col min="11791" max="12032" width="9.33203125" style="341"/>
    <col min="12033" max="12033" width="4.6640625" style="341" customWidth="1"/>
    <col min="12034" max="12034" width="10.5546875" style="341" customWidth="1"/>
    <col min="12035" max="12035" width="49.33203125" style="341" customWidth="1"/>
    <col min="12036" max="12036" width="68.5546875" style="341" customWidth="1"/>
    <col min="12037" max="12037" width="35.44140625" style="341" customWidth="1"/>
    <col min="12038" max="12038" width="21" style="341" customWidth="1"/>
    <col min="12039" max="12039" width="28.44140625" style="341" customWidth="1"/>
    <col min="12040" max="12040" width="30.6640625" style="341" customWidth="1"/>
    <col min="12041" max="12041" width="29.5546875" style="341" customWidth="1"/>
    <col min="12042" max="12042" width="33.5546875" style="341" customWidth="1"/>
    <col min="12043" max="12043" width="26.5546875" style="341" customWidth="1"/>
    <col min="12044" max="12044" width="31.5546875" style="341" customWidth="1"/>
    <col min="12045" max="12045" width="34.33203125" style="341" customWidth="1"/>
    <col min="12046" max="12046" width="45.33203125" style="341" customWidth="1"/>
    <col min="12047" max="12288" width="9.33203125" style="341"/>
    <col min="12289" max="12289" width="4.6640625" style="341" customWidth="1"/>
    <col min="12290" max="12290" width="10.5546875" style="341" customWidth="1"/>
    <col min="12291" max="12291" width="49.33203125" style="341" customWidth="1"/>
    <col min="12292" max="12292" width="68.5546875" style="341" customWidth="1"/>
    <col min="12293" max="12293" width="35.44140625" style="341" customWidth="1"/>
    <col min="12294" max="12294" width="21" style="341" customWidth="1"/>
    <col min="12295" max="12295" width="28.44140625" style="341" customWidth="1"/>
    <col min="12296" max="12296" width="30.6640625" style="341" customWidth="1"/>
    <col min="12297" max="12297" width="29.5546875" style="341" customWidth="1"/>
    <col min="12298" max="12298" width="33.5546875" style="341" customWidth="1"/>
    <col min="12299" max="12299" width="26.5546875" style="341" customWidth="1"/>
    <col min="12300" max="12300" width="31.5546875" style="341" customWidth="1"/>
    <col min="12301" max="12301" width="34.33203125" style="341" customWidth="1"/>
    <col min="12302" max="12302" width="45.33203125" style="341" customWidth="1"/>
    <col min="12303" max="12544" width="9.33203125" style="341"/>
    <col min="12545" max="12545" width="4.6640625" style="341" customWidth="1"/>
    <col min="12546" max="12546" width="10.5546875" style="341" customWidth="1"/>
    <col min="12547" max="12547" width="49.33203125" style="341" customWidth="1"/>
    <col min="12548" max="12548" width="68.5546875" style="341" customWidth="1"/>
    <col min="12549" max="12549" width="35.44140625" style="341" customWidth="1"/>
    <col min="12550" max="12550" width="21" style="341" customWidth="1"/>
    <col min="12551" max="12551" width="28.44140625" style="341" customWidth="1"/>
    <col min="12552" max="12552" width="30.6640625" style="341" customWidth="1"/>
    <col min="12553" max="12553" width="29.5546875" style="341" customWidth="1"/>
    <col min="12554" max="12554" width="33.5546875" style="341" customWidth="1"/>
    <col min="12555" max="12555" width="26.5546875" style="341" customWidth="1"/>
    <col min="12556" max="12556" width="31.5546875" style="341" customWidth="1"/>
    <col min="12557" max="12557" width="34.33203125" style="341" customWidth="1"/>
    <col min="12558" max="12558" width="45.33203125" style="341" customWidth="1"/>
    <col min="12559" max="12800" width="9.33203125" style="341"/>
    <col min="12801" max="12801" width="4.6640625" style="341" customWidth="1"/>
    <col min="12802" max="12802" width="10.5546875" style="341" customWidth="1"/>
    <col min="12803" max="12803" width="49.33203125" style="341" customWidth="1"/>
    <col min="12804" max="12804" width="68.5546875" style="341" customWidth="1"/>
    <col min="12805" max="12805" width="35.44140625" style="341" customWidth="1"/>
    <col min="12806" max="12806" width="21" style="341" customWidth="1"/>
    <col min="12807" max="12807" width="28.44140625" style="341" customWidth="1"/>
    <col min="12808" max="12808" width="30.6640625" style="341" customWidth="1"/>
    <col min="12809" max="12809" width="29.5546875" style="341" customWidth="1"/>
    <col min="12810" max="12810" width="33.5546875" style="341" customWidth="1"/>
    <col min="12811" max="12811" width="26.5546875" style="341" customWidth="1"/>
    <col min="12812" max="12812" width="31.5546875" style="341" customWidth="1"/>
    <col min="12813" max="12813" width="34.33203125" style="341" customWidth="1"/>
    <col min="12814" max="12814" width="45.33203125" style="341" customWidth="1"/>
    <col min="12815" max="13056" width="9.33203125" style="341"/>
    <col min="13057" max="13057" width="4.6640625" style="341" customWidth="1"/>
    <col min="13058" max="13058" width="10.5546875" style="341" customWidth="1"/>
    <col min="13059" max="13059" width="49.33203125" style="341" customWidth="1"/>
    <col min="13060" max="13060" width="68.5546875" style="341" customWidth="1"/>
    <col min="13061" max="13061" width="35.44140625" style="341" customWidth="1"/>
    <col min="13062" max="13062" width="21" style="341" customWidth="1"/>
    <col min="13063" max="13063" width="28.44140625" style="341" customWidth="1"/>
    <col min="13064" max="13064" width="30.6640625" style="341" customWidth="1"/>
    <col min="13065" max="13065" width="29.5546875" style="341" customWidth="1"/>
    <col min="13066" max="13066" width="33.5546875" style="341" customWidth="1"/>
    <col min="13067" max="13067" width="26.5546875" style="341" customWidth="1"/>
    <col min="13068" max="13068" width="31.5546875" style="341" customWidth="1"/>
    <col min="13069" max="13069" width="34.33203125" style="341" customWidth="1"/>
    <col min="13070" max="13070" width="45.33203125" style="341" customWidth="1"/>
    <col min="13071" max="13312" width="9.33203125" style="341"/>
    <col min="13313" max="13313" width="4.6640625" style="341" customWidth="1"/>
    <col min="13314" max="13314" width="10.5546875" style="341" customWidth="1"/>
    <col min="13315" max="13315" width="49.33203125" style="341" customWidth="1"/>
    <col min="13316" max="13316" width="68.5546875" style="341" customWidth="1"/>
    <col min="13317" max="13317" width="35.44140625" style="341" customWidth="1"/>
    <col min="13318" max="13318" width="21" style="341" customWidth="1"/>
    <col min="13319" max="13319" width="28.44140625" style="341" customWidth="1"/>
    <col min="13320" max="13320" width="30.6640625" style="341" customWidth="1"/>
    <col min="13321" max="13321" width="29.5546875" style="341" customWidth="1"/>
    <col min="13322" max="13322" width="33.5546875" style="341" customWidth="1"/>
    <col min="13323" max="13323" width="26.5546875" style="341" customWidth="1"/>
    <col min="13324" max="13324" width="31.5546875" style="341" customWidth="1"/>
    <col min="13325" max="13325" width="34.33203125" style="341" customWidth="1"/>
    <col min="13326" max="13326" width="45.33203125" style="341" customWidth="1"/>
    <col min="13327" max="13568" width="9.33203125" style="341"/>
    <col min="13569" max="13569" width="4.6640625" style="341" customWidth="1"/>
    <col min="13570" max="13570" width="10.5546875" style="341" customWidth="1"/>
    <col min="13571" max="13571" width="49.33203125" style="341" customWidth="1"/>
    <col min="13572" max="13572" width="68.5546875" style="341" customWidth="1"/>
    <col min="13573" max="13573" width="35.44140625" style="341" customWidth="1"/>
    <col min="13574" max="13574" width="21" style="341" customWidth="1"/>
    <col min="13575" max="13575" width="28.44140625" style="341" customWidth="1"/>
    <col min="13576" max="13576" width="30.6640625" style="341" customWidth="1"/>
    <col min="13577" max="13577" width="29.5546875" style="341" customWidth="1"/>
    <col min="13578" max="13578" width="33.5546875" style="341" customWidth="1"/>
    <col min="13579" max="13579" width="26.5546875" style="341" customWidth="1"/>
    <col min="13580" max="13580" width="31.5546875" style="341" customWidth="1"/>
    <col min="13581" max="13581" width="34.33203125" style="341" customWidth="1"/>
    <col min="13582" max="13582" width="45.33203125" style="341" customWidth="1"/>
    <col min="13583" max="13824" width="9.33203125" style="341"/>
    <col min="13825" max="13825" width="4.6640625" style="341" customWidth="1"/>
    <col min="13826" max="13826" width="10.5546875" style="341" customWidth="1"/>
    <col min="13827" max="13827" width="49.33203125" style="341" customWidth="1"/>
    <col min="13828" max="13828" width="68.5546875" style="341" customWidth="1"/>
    <col min="13829" max="13829" width="35.44140625" style="341" customWidth="1"/>
    <col min="13830" max="13830" width="21" style="341" customWidth="1"/>
    <col min="13831" max="13831" width="28.44140625" style="341" customWidth="1"/>
    <col min="13832" max="13832" width="30.6640625" style="341" customWidth="1"/>
    <col min="13833" max="13833" width="29.5546875" style="341" customWidth="1"/>
    <col min="13834" max="13834" width="33.5546875" style="341" customWidth="1"/>
    <col min="13835" max="13835" width="26.5546875" style="341" customWidth="1"/>
    <col min="13836" max="13836" width="31.5546875" style="341" customWidth="1"/>
    <col min="13837" max="13837" width="34.33203125" style="341" customWidth="1"/>
    <col min="13838" max="13838" width="45.33203125" style="341" customWidth="1"/>
    <col min="13839" max="14080" width="9.33203125" style="341"/>
    <col min="14081" max="14081" width="4.6640625" style="341" customWidth="1"/>
    <col min="14082" max="14082" width="10.5546875" style="341" customWidth="1"/>
    <col min="14083" max="14083" width="49.33203125" style="341" customWidth="1"/>
    <col min="14084" max="14084" width="68.5546875" style="341" customWidth="1"/>
    <col min="14085" max="14085" width="35.44140625" style="341" customWidth="1"/>
    <col min="14086" max="14086" width="21" style="341" customWidth="1"/>
    <col min="14087" max="14087" width="28.44140625" style="341" customWidth="1"/>
    <col min="14088" max="14088" width="30.6640625" style="341" customWidth="1"/>
    <col min="14089" max="14089" width="29.5546875" style="341" customWidth="1"/>
    <col min="14090" max="14090" width="33.5546875" style="341" customWidth="1"/>
    <col min="14091" max="14091" width="26.5546875" style="341" customWidth="1"/>
    <col min="14092" max="14092" width="31.5546875" style="341" customWidth="1"/>
    <col min="14093" max="14093" width="34.33203125" style="341" customWidth="1"/>
    <col min="14094" max="14094" width="45.33203125" style="341" customWidth="1"/>
    <col min="14095" max="14336" width="9.33203125" style="341"/>
    <col min="14337" max="14337" width="4.6640625" style="341" customWidth="1"/>
    <col min="14338" max="14338" width="10.5546875" style="341" customWidth="1"/>
    <col min="14339" max="14339" width="49.33203125" style="341" customWidth="1"/>
    <col min="14340" max="14340" width="68.5546875" style="341" customWidth="1"/>
    <col min="14341" max="14341" width="35.44140625" style="341" customWidth="1"/>
    <col min="14342" max="14342" width="21" style="341" customWidth="1"/>
    <col min="14343" max="14343" width="28.44140625" style="341" customWidth="1"/>
    <col min="14344" max="14344" width="30.6640625" style="341" customWidth="1"/>
    <col min="14345" max="14345" width="29.5546875" style="341" customWidth="1"/>
    <col min="14346" max="14346" width="33.5546875" style="341" customWidth="1"/>
    <col min="14347" max="14347" width="26.5546875" style="341" customWidth="1"/>
    <col min="14348" max="14348" width="31.5546875" style="341" customWidth="1"/>
    <col min="14349" max="14349" width="34.33203125" style="341" customWidth="1"/>
    <col min="14350" max="14350" width="45.33203125" style="341" customWidth="1"/>
    <col min="14351" max="14592" width="9.33203125" style="341"/>
    <col min="14593" max="14593" width="4.6640625" style="341" customWidth="1"/>
    <col min="14594" max="14594" width="10.5546875" style="341" customWidth="1"/>
    <col min="14595" max="14595" width="49.33203125" style="341" customWidth="1"/>
    <col min="14596" max="14596" width="68.5546875" style="341" customWidth="1"/>
    <col min="14597" max="14597" width="35.44140625" style="341" customWidth="1"/>
    <col min="14598" max="14598" width="21" style="341" customWidth="1"/>
    <col min="14599" max="14599" width="28.44140625" style="341" customWidth="1"/>
    <col min="14600" max="14600" width="30.6640625" style="341" customWidth="1"/>
    <col min="14601" max="14601" width="29.5546875" style="341" customWidth="1"/>
    <col min="14602" max="14602" width="33.5546875" style="341" customWidth="1"/>
    <col min="14603" max="14603" width="26.5546875" style="341" customWidth="1"/>
    <col min="14604" max="14604" width="31.5546875" style="341" customWidth="1"/>
    <col min="14605" max="14605" width="34.33203125" style="341" customWidth="1"/>
    <col min="14606" max="14606" width="45.33203125" style="341" customWidth="1"/>
    <col min="14607" max="14848" width="9.33203125" style="341"/>
    <col min="14849" max="14849" width="4.6640625" style="341" customWidth="1"/>
    <col min="14850" max="14850" width="10.5546875" style="341" customWidth="1"/>
    <col min="14851" max="14851" width="49.33203125" style="341" customWidth="1"/>
    <col min="14852" max="14852" width="68.5546875" style="341" customWidth="1"/>
    <col min="14853" max="14853" width="35.44140625" style="341" customWidth="1"/>
    <col min="14854" max="14854" width="21" style="341" customWidth="1"/>
    <col min="14855" max="14855" width="28.44140625" style="341" customWidth="1"/>
    <col min="14856" max="14856" width="30.6640625" style="341" customWidth="1"/>
    <col min="14857" max="14857" width="29.5546875" style="341" customWidth="1"/>
    <col min="14858" max="14858" width="33.5546875" style="341" customWidth="1"/>
    <col min="14859" max="14859" width="26.5546875" style="341" customWidth="1"/>
    <col min="14860" max="14860" width="31.5546875" style="341" customWidth="1"/>
    <col min="14861" max="14861" width="34.33203125" style="341" customWidth="1"/>
    <col min="14862" max="14862" width="45.33203125" style="341" customWidth="1"/>
    <col min="14863" max="15104" width="9.33203125" style="341"/>
    <col min="15105" max="15105" width="4.6640625" style="341" customWidth="1"/>
    <col min="15106" max="15106" width="10.5546875" style="341" customWidth="1"/>
    <col min="15107" max="15107" width="49.33203125" style="341" customWidth="1"/>
    <col min="15108" max="15108" width="68.5546875" style="341" customWidth="1"/>
    <col min="15109" max="15109" width="35.44140625" style="341" customWidth="1"/>
    <col min="15110" max="15110" width="21" style="341" customWidth="1"/>
    <col min="15111" max="15111" width="28.44140625" style="341" customWidth="1"/>
    <col min="15112" max="15112" width="30.6640625" style="341" customWidth="1"/>
    <col min="15113" max="15113" width="29.5546875" style="341" customWidth="1"/>
    <col min="15114" max="15114" width="33.5546875" style="341" customWidth="1"/>
    <col min="15115" max="15115" width="26.5546875" style="341" customWidth="1"/>
    <col min="15116" max="15116" width="31.5546875" style="341" customWidth="1"/>
    <col min="15117" max="15117" width="34.33203125" style="341" customWidth="1"/>
    <col min="15118" max="15118" width="45.33203125" style="341" customWidth="1"/>
    <col min="15119" max="15360" width="9.33203125" style="341"/>
    <col min="15361" max="15361" width="4.6640625" style="341" customWidth="1"/>
    <col min="15362" max="15362" width="10.5546875" style="341" customWidth="1"/>
    <col min="15363" max="15363" width="49.33203125" style="341" customWidth="1"/>
    <col min="15364" max="15364" width="68.5546875" style="341" customWidth="1"/>
    <col min="15365" max="15365" width="35.44140625" style="341" customWidth="1"/>
    <col min="15366" max="15366" width="21" style="341" customWidth="1"/>
    <col min="15367" max="15367" width="28.44140625" style="341" customWidth="1"/>
    <col min="15368" max="15368" width="30.6640625" style="341" customWidth="1"/>
    <col min="15369" max="15369" width="29.5546875" style="341" customWidth="1"/>
    <col min="15370" max="15370" width="33.5546875" style="341" customWidth="1"/>
    <col min="15371" max="15371" width="26.5546875" style="341" customWidth="1"/>
    <col min="15372" max="15372" width="31.5546875" style="341" customWidth="1"/>
    <col min="15373" max="15373" width="34.33203125" style="341" customWidth="1"/>
    <col min="15374" max="15374" width="45.33203125" style="341" customWidth="1"/>
    <col min="15375" max="15616" width="9.33203125" style="341"/>
    <col min="15617" max="15617" width="4.6640625" style="341" customWidth="1"/>
    <col min="15618" max="15618" width="10.5546875" style="341" customWidth="1"/>
    <col min="15619" max="15619" width="49.33203125" style="341" customWidth="1"/>
    <col min="15620" max="15620" width="68.5546875" style="341" customWidth="1"/>
    <col min="15621" max="15621" width="35.44140625" style="341" customWidth="1"/>
    <col min="15622" max="15622" width="21" style="341" customWidth="1"/>
    <col min="15623" max="15623" width="28.44140625" style="341" customWidth="1"/>
    <col min="15624" max="15624" width="30.6640625" style="341" customWidth="1"/>
    <col min="15625" max="15625" width="29.5546875" style="341" customWidth="1"/>
    <col min="15626" max="15626" width="33.5546875" style="341" customWidth="1"/>
    <col min="15627" max="15627" width="26.5546875" style="341" customWidth="1"/>
    <col min="15628" max="15628" width="31.5546875" style="341" customWidth="1"/>
    <col min="15629" max="15629" width="34.33203125" style="341" customWidth="1"/>
    <col min="15630" max="15630" width="45.33203125" style="341" customWidth="1"/>
    <col min="15631" max="15872" width="9.33203125" style="341"/>
    <col min="15873" max="15873" width="4.6640625" style="341" customWidth="1"/>
    <col min="15874" max="15874" width="10.5546875" style="341" customWidth="1"/>
    <col min="15875" max="15875" width="49.33203125" style="341" customWidth="1"/>
    <col min="15876" max="15876" width="68.5546875" style="341" customWidth="1"/>
    <col min="15877" max="15877" width="35.44140625" style="341" customWidth="1"/>
    <col min="15878" max="15878" width="21" style="341" customWidth="1"/>
    <col min="15879" max="15879" width="28.44140625" style="341" customWidth="1"/>
    <col min="15880" max="15880" width="30.6640625" style="341" customWidth="1"/>
    <col min="15881" max="15881" width="29.5546875" style="341" customWidth="1"/>
    <col min="15882" max="15882" width="33.5546875" style="341" customWidth="1"/>
    <col min="15883" max="15883" width="26.5546875" style="341" customWidth="1"/>
    <col min="15884" max="15884" width="31.5546875" style="341" customWidth="1"/>
    <col min="15885" max="15885" width="34.33203125" style="341" customWidth="1"/>
    <col min="15886" max="15886" width="45.33203125" style="341" customWidth="1"/>
    <col min="15887" max="16128" width="9.33203125" style="341"/>
    <col min="16129" max="16129" width="4.6640625" style="341" customWidth="1"/>
    <col min="16130" max="16130" width="10.5546875" style="341" customWidth="1"/>
    <col min="16131" max="16131" width="49.33203125" style="341" customWidth="1"/>
    <col min="16132" max="16132" width="68.5546875" style="341" customWidth="1"/>
    <col min="16133" max="16133" width="35.44140625" style="341" customWidth="1"/>
    <col min="16134" max="16134" width="21" style="341" customWidth="1"/>
    <col min="16135" max="16135" width="28.44140625" style="341" customWidth="1"/>
    <col min="16136" max="16136" width="30.6640625" style="341" customWidth="1"/>
    <col min="16137" max="16137" width="29.5546875" style="341" customWidth="1"/>
    <col min="16138" max="16138" width="33.5546875" style="341" customWidth="1"/>
    <col min="16139" max="16139" width="26.5546875" style="341" customWidth="1"/>
    <col min="16140" max="16140" width="31.5546875" style="341" customWidth="1"/>
    <col min="16141" max="16141" width="34.33203125" style="341" customWidth="1"/>
    <col min="16142" max="16142" width="45.33203125" style="341" customWidth="1"/>
    <col min="16143" max="16384" width="9.33203125" style="341"/>
  </cols>
  <sheetData>
    <row r="1" spans="2:14" x14ac:dyDescent="0.25">
      <c r="C1" s="342"/>
      <c r="D1" s="342"/>
    </row>
    <row r="2" spans="2:14" ht="31.5" customHeight="1" x14ac:dyDescent="0.25">
      <c r="C2" s="344"/>
      <c r="D2" s="344"/>
      <c r="E2" s="344"/>
      <c r="F2" s="344"/>
      <c r="G2" s="344"/>
      <c r="H2" s="344"/>
      <c r="I2" s="344"/>
      <c r="J2" s="344"/>
      <c r="K2" s="344"/>
      <c r="L2" s="344"/>
      <c r="M2" s="344"/>
      <c r="N2" s="344"/>
    </row>
    <row r="3" spans="2:14" s="187" customFormat="1" x14ac:dyDescent="0.25">
      <c r="B3" s="208"/>
      <c r="C3" s="171"/>
      <c r="D3" s="208"/>
      <c r="E3" s="208"/>
      <c r="F3" s="208"/>
      <c r="G3" s="208"/>
      <c r="H3" s="299" t="s">
        <v>132</v>
      </c>
    </row>
    <row r="4" spans="2:14" s="187" customFormat="1" x14ac:dyDescent="0.25">
      <c r="B4" s="345"/>
      <c r="C4" s="171"/>
      <c r="D4" s="304"/>
      <c r="E4" s="304"/>
      <c r="F4" s="304"/>
      <c r="G4" s="304"/>
      <c r="H4" s="303" t="s">
        <v>592</v>
      </c>
    </row>
    <row r="5" spans="2:14" s="187" customFormat="1" x14ac:dyDescent="0.25">
      <c r="B5" s="345"/>
      <c r="C5" s="171"/>
      <c r="D5" s="304"/>
      <c r="E5" s="304"/>
      <c r="F5" s="304"/>
      <c r="G5" s="304"/>
      <c r="H5" s="305" t="s">
        <v>635</v>
      </c>
    </row>
    <row r="6" spans="2:14" s="187" customFormat="1" x14ac:dyDescent="0.25">
      <c r="B6" s="345"/>
      <c r="C6" s="171"/>
      <c r="D6" s="304"/>
      <c r="E6" s="304"/>
      <c r="F6" s="304"/>
      <c r="G6" s="304"/>
      <c r="H6" s="305"/>
    </row>
    <row r="7" spans="2:14" ht="55.2" x14ac:dyDescent="0.25">
      <c r="B7" s="346" t="s">
        <v>1</v>
      </c>
      <c r="C7" s="346" t="s">
        <v>636</v>
      </c>
      <c r="D7" s="346" t="s">
        <v>637</v>
      </c>
      <c r="E7" s="346" t="s">
        <v>638</v>
      </c>
      <c r="F7" s="346" t="s">
        <v>639</v>
      </c>
      <c r="G7" s="346" t="s">
        <v>640</v>
      </c>
      <c r="H7" s="346" t="s">
        <v>641</v>
      </c>
      <c r="I7" s="346" t="s">
        <v>642</v>
      </c>
      <c r="J7" s="346" t="s">
        <v>643</v>
      </c>
      <c r="K7" s="346" t="s">
        <v>644</v>
      </c>
      <c r="L7" s="346" t="s">
        <v>645</v>
      </c>
      <c r="M7" s="347" t="s">
        <v>646</v>
      </c>
      <c r="N7" s="346" t="s">
        <v>647</v>
      </c>
    </row>
    <row r="8" spans="2:14" x14ac:dyDescent="0.25">
      <c r="B8" s="348"/>
      <c r="C8" s="178"/>
      <c r="D8" s="178"/>
      <c r="E8" s="349"/>
      <c r="F8" s="349"/>
      <c r="G8" s="349"/>
      <c r="H8" s="349"/>
      <c r="I8" s="349"/>
      <c r="J8" s="349"/>
      <c r="K8" s="349"/>
      <c r="L8" s="349"/>
      <c r="M8" s="350"/>
      <c r="N8" s="351"/>
    </row>
    <row r="9" spans="2:14" s="352" customFormat="1" x14ac:dyDescent="0.25">
      <c r="B9" s="348"/>
      <c r="C9" s="178"/>
      <c r="D9" s="178"/>
      <c r="E9" s="349"/>
      <c r="F9" s="349"/>
      <c r="G9" s="349"/>
      <c r="H9" s="349"/>
      <c r="I9" s="349"/>
      <c r="J9" s="349"/>
      <c r="K9" s="349"/>
      <c r="L9" s="349"/>
      <c r="M9" s="350"/>
      <c r="N9" s="351"/>
    </row>
    <row r="10" spans="2:14" x14ac:dyDescent="0.25">
      <c r="B10" s="348"/>
      <c r="C10" s="178"/>
      <c r="D10" s="178"/>
      <c r="E10" s="349"/>
      <c r="F10" s="349"/>
      <c r="G10" s="349"/>
      <c r="H10" s="349"/>
      <c r="I10" s="349"/>
      <c r="J10" s="349"/>
      <c r="K10" s="349"/>
      <c r="L10" s="349"/>
      <c r="M10" s="350"/>
      <c r="N10" s="351"/>
    </row>
    <row r="11" spans="2:14" x14ac:dyDescent="0.25">
      <c r="B11" s="348"/>
      <c r="C11" s="178"/>
      <c r="D11" s="178"/>
      <c r="E11" s="349"/>
      <c r="F11" s="349"/>
      <c r="G11" s="349"/>
      <c r="H11" s="353"/>
      <c r="I11" s="349"/>
      <c r="J11" s="349"/>
      <c r="K11" s="354"/>
      <c r="L11" s="349"/>
      <c r="M11" s="350"/>
      <c r="N11" s="351"/>
    </row>
    <row r="12" spans="2:14" x14ac:dyDescent="0.25">
      <c r="B12" s="348"/>
      <c r="C12" s="178"/>
      <c r="D12" s="178"/>
      <c r="E12" s="349"/>
      <c r="F12" s="349"/>
      <c r="G12" s="349"/>
      <c r="H12" s="349"/>
      <c r="I12" s="349"/>
      <c r="J12" s="349"/>
      <c r="K12" s="349"/>
      <c r="L12" s="349"/>
      <c r="M12" s="350"/>
      <c r="N12" s="351"/>
    </row>
    <row r="13" spans="2:14" ht="14.4" thickBot="1" x14ac:dyDescent="0.3">
      <c r="B13" s="355"/>
      <c r="C13" s="356"/>
      <c r="D13" s="356"/>
      <c r="E13" s="357"/>
      <c r="F13" s="357"/>
      <c r="G13" s="358"/>
      <c r="H13" s="357"/>
      <c r="I13" s="357"/>
      <c r="J13" s="357"/>
      <c r="K13" s="357"/>
      <c r="L13" s="357"/>
      <c r="M13" s="359"/>
      <c r="N13" s="360"/>
    </row>
    <row r="14" spans="2:14" x14ac:dyDescent="0.25">
      <c r="M14" s="341"/>
    </row>
    <row r="15" spans="2:14" x14ac:dyDescent="0.25">
      <c r="B15" s="169" t="s">
        <v>597</v>
      </c>
      <c r="M15" s="341"/>
    </row>
    <row r="16" spans="2:14" x14ac:dyDescent="0.25">
      <c r="M16" s="341"/>
    </row>
    <row r="17" spans="13:13" x14ac:dyDescent="0.25">
      <c r="M17" s="341"/>
    </row>
    <row r="18" spans="13:13" x14ac:dyDescent="0.25">
      <c r="M18" s="341"/>
    </row>
    <row r="19" spans="13:13" x14ac:dyDescent="0.25">
      <c r="M19" s="341"/>
    </row>
    <row r="20" spans="13:13" x14ac:dyDescent="0.25">
      <c r="M20" s="341"/>
    </row>
    <row r="21" spans="13:13" x14ac:dyDescent="0.25">
      <c r="M21" s="341"/>
    </row>
    <row r="22" spans="13:13" x14ac:dyDescent="0.25">
      <c r="M22" s="341"/>
    </row>
    <row r="23" spans="13:13" ht="27.75" customHeight="1" x14ac:dyDescent="0.25">
      <c r="M23" s="341"/>
    </row>
    <row r="24" spans="13:13" ht="27.75" customHeight="1" x14ac:dyDescent="0.25">
      <c r="M24" s="341"/>
    </row>
    <row r="25" spans="13:13" x14ac:dyDescent="0.25">
      <c r="M25" s="341"/>
    </row>
    <row r="26" spans="13:13" x14ac:dyDescent="0.25">
      <c r="M26" s="341"/>
    </row>
    <row r="27" spans="13:13" x14ac:dyDescent="0.25">
      <c r="M27" s="341"/>
    </row>
    <row r="28" spans="13:13" x14ac:dyDescent="0.25">
      <c r="M28" s="341"/>
    </row>
    <row r="29" spans="13:13" x14ac:dyDescent="0.25">
      <c r="M29" s="341"/>
    </row>
    <row r="30" spans="13:13" x14ac:dyDescent="0.25">
      <c r="M30" s="341"/>
    </row>
    <row r="31" spans="13:13" x14ac:dyDescent="0.25">
      <c r="M31" s="341"/>
    </row>
    <row r="32" spans="13:13" x14ac:dyDescent="0.25">
      <c r="M32" s="341"/>
    </row>
    <row r="33" spans="13:14" x14ac:dyDescent="0.25">
      <c r="M33" s="341"/>
    </row>
    <row r="34" spans="13:14" x14ac:dyDescent="0.25">
      <c r="M34" s="341"/>
    </row>
    <row r="35" spans="13:14" x14ac:dyDescent="0.25">
      <c r="M35" s="341"/>
    </row>
    <row r="36" spans="13:14" x14ac:dyDescent="0.25">
      <c r="M36" s="341"/>
    </row>
    <row r="37" spans="13:14" x14ac:dyDescent="0.25">
      <c r="M37" s="341"/>
    </row>
    <row r="38" spans="13:14" x14ac:dyDescent="0.25">
      <c r="M38" s="341"/>
    </row>
    <row r="39" spans="13:14" x14ac:dyDescent="0.25">
      <c r="M39" s="341"/>
    </row>
    <row r="40" spans="13:14" x14ac:dyDescent="0.25">
      <c r="M40" s="341"/>
    </row>
    <row r="41" spans="13:14" x14ac:dyDescent="0.25">
      <c r="M41" s="341"/>
    </row>
    <row r="42" spans="13:14" x14ac:dyDescent="0.25">
      <c r="M42" s="341"/>
    </row>
    <row r="43" spans="13:14" x14ac:dyDescent="0.25">
      <c r="M43" s="341"/>
    </row>
    <row r="44" spans="13:14" x14ac:dyDescent="0.25">
      <c r="M44" s="341"/>
    </row>
    <row r="45" spans="13:14" x14ac:dyDescent="0.25">
      <c r="M45" s="341"/>
      <c r="N45" s="361"/>
    </row>
    <row r="46" spans="13:14" x14ac:dyDescent="0.25">
      <c r="M46" s="341"/>
    </row>
    <row r="47" spans="13:14" x14ac:dyDescent="0.25">
      <c r="M47" s="341"/>
    </row>
    <row r="48" spans="13:14" x14ac:dyDescent="0.25">
      <c r="M48" s="341"/>
    </row>
    <row r="49" spans="4:14" x14ac:dyDescent="0.25">
      <c r="M49" s="341"/>
    </row>
    <row r="50" spans="4:14" x14ac:dyDescent="0.25">
      <c r="M50" s="341"/>
    </row>
    <row r="51" spans="4:14" x14ac:dyDescent="0.25">
      <c r="M51" s="341"/>
    </row>
    <row r="52" spans="4:14" x14ac:dyDescent="0.25">
      <c r="M52" s="341"/>
    </row>
    <row r="53" spans="4:14" x14ac:dyDescent="0.25">
      <c r="M53" s="341"/>
    </row>
    <row r="54" spans="4:14" x14ac:dyDescent="0.25">
      <c r="M54" s="341"/>
    </row>
    <row r="55" spans="4:14" x14ac:dyDescent="0.25">
      <c r="M55" s="341"/>
    </row>
    <row r="56" spans="4:14" x14ac:dyDescent="0.25">
      <c r="M56" s="341"/>
    </row>
    <row r="57" spans="4:14" x14ac:dyDescent="0.25">
      <c r="M57" s="341"/>
    </row>
    <row r="58" spans="4:14" x14ac:dyDescent="0.25">
      <c r="M58" s="341"/>
    </row>
    <row r="59" spans="4:14" x14ac:dyDescent="0.25">
      <c r="M59" s="341"/>
      <c r="N59" s="361"/>
    </row>
    <row r="60" spans="4:14" x14ac:dyDescent="0.25">
      <c r="M60" s="341"/>
    </row>
    <row r="61" spans="4:14" x14ac:dyDescent="0.25">
      <c r="M61" s="341"/>
    </row>
    <row r="62" spans="4:14" x14ac:dyDescent="0.25">
      <c r="M62" s="362"/>
    </row>
    <row r="63" spans="4:14" x14ac:dyDescent="0.25">
      <c r="M63" s="363"/>
    </row>
    <row r="64" spans="4:14" x14ac:dyDescent="0.25">
      <c r="D64" s="364"/>
      <c r="M64" s="365"/>
    </row>
    <row r="65" spans="13:13" x14ac:dyDescent="0.25">
      <c r="M65" s="366"/>
    </row>
    <row r="66" spans="13:13" x14ac:dyDescent="0.25">
      <c r="M66" s="365"/>
    </row>
    <row r="67" spans="13:13" x14ac:dyDescent="0.25">
      <c r="M67" s="365"/>
    </row>
    <row r="68" spans="13:13" x14ac:dyDescent="0.25">
      <c r="M68" s="365"/>
    </row>
    <row r="69" spans="13:13" x14ac:dyDescent="0.25">
      <c r="M69" s="365"/>
    </row>
    <row r="70" spans="13:13" x14ac:dyDescent="0.25">
      <c r="M70" s="367"/>
    </row>
    <row r="71" spans="13:13" x14ac:dyDescent="0.25">
      <c r="M71" s="365"/>
    </row>
    <row r="72" spans="13:13" x14ac:dyDescent="0.25">
      <c r="M72" s="365"/>
    </row>
    <row r="73" spans="13:13" x14ac:dyDescent="0.25">
      <c r="M73" s="362"/>
    </row>
    <row r="75" spans="13:13" x14ac:dyDescent="0.25">
      <c r="M75" s="368"/>
    </row>
    <row r="76" spans="13:13" x14ac:dyDescent="0.25">
      <c r="M76" s="369"/>
    </row>
  </sheetData>
  <printOptions horizontalCentered="1"/>
  <pageMargins left="0.55118110236220497" right="0.511811023622047" top="1.1811023622047201" bottom="0.98425196850393704" header="0.39370078740157499" footer="0.31496062992126"/>
  <pageSetup paperSize="9" scale="61"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2:K29"/>
  <sheetViews>
    <sheetView showGridLines="0" view="pageBreakPreview" topLeftCell="A8" zoomScale="110" zoomScaleSheetLayoutView="70" workbookViewId="0">
      <selection activeCell="L5" sqref="L5"/>
    </sheetView>
  </sheetViews>
  <sheetFormatPr defaultColWidth="9.33203125" defaultRowHeight="13.8" x14ac:dyDescent="0.25"/>
  <cols>
    <col min="1" max="1" width="9.33203125" style="187"/>
    <col min="2" max="2" width="24.6640625" style="187" customWidth="1"/>
    <col min="3" max="3" width="12.44140625" style="187" customWidth="1"/>
    <col min="4" max="4" width="13.6640625" style="187" customWidth="1"/>
    <col min="5" max="5" width="13.33203125" style="187" customWidth="1"/>
    <col min="6" max="6" width="12.44140625" style="187" customWidth="1"/>
    <col min="7" max="7" width="14" style="187" customWidth="1"/>
    <col min="8" max="8" width="13.44140625" style="187" customWidth="1"/>
    <col min="9" max="10" width="16.6640625" style="187" customWidth="1"/>
    <col min="11" max="11" width="26.6640625" style="187" customWidth="1"/>
    <col min="12" max="251" width="9.33203125" style="187"/>
    <col min="252" max="252" width="71" style="187" customWidth="1"/>
    <col min="253" max="253" width="22.6640625" style="187" bestFit="1" customWidth="1"/>
    <col min="254" max="254" width="33" style="187" bestFit="1" customWidth="1"/>
    <col min="255" max="255" width="26.5546875" style="187" bestFit="1" customWidth="1"/>
    <col min="256" max="256" width="22.6640625" style="187" bestFit="1" customWidth="1"/>
    <col min="257" max="257" width="33" style="187" bestFit="1" customWidth="1"/>
    <col min="258" max="258" width="26.5546875" style="187" customWidth="1"/>
    <col min="259" max="259" width="22.6640625" style="187" bestFit="1" customWidth="1"/>
    <col min="260" max="261" width="33" style="187" bestFit="1" customWidth="1"/>
    <col min="262" max="262" width="22.6640625" style="187" bestFit="1" customWidth="1"/>
    <col min="263" max="263" width="33" style="187" bestFit="1" customWidth="1"/>
    <col min="264" max="264" width="25.6640625" style="187" customWidth="1"/>
    <col min="265" max="266" width="16.6640625" style="187" customWidth="1"/>
    <col min="267" max="267" width="26.6640625" style="187" customWidth="1"/>
    <col min="268" max="507" width="9.33203125" style="187"/>
    <col min="508" max="508" width="71" style="187" customWidth="1"/>
    <col min="509" max="509" width="22.6640625" style="187" bestFit="1" customWidth="1"/>
    <col min="510" max="510" width="33" style="187" bestFit="1" customWidth="1"/>
    <col min="511" max="511" width="26.5546875" style="187" bestFit="1" customWidth="1"/>
    <col min="512" max="512" width="22.6640625" style="187" bestFit="1" customWidth="1"/>
    <col min="513" max="513" width="33" style="187" bestFit="1" customWidth="1"/>
    <col min="514" max="514" width="26.5546875" style="187" customWidth="1"/>
    <col min="515" max="515" width="22.6640625" style="187" bestFit="1" customWidth="1"/>
    <col min="516" max="517" width="33" style="187" bestFit="1" customWidth="1"/>
    <col min="518" max="518" width="22.6640625" style="187" bestFit="1" customWidth="1"/>
    <col min="519" max="519" width="33" style="187" bestFit="1" customWidth="1"/>
    <col min="520" max="520" width="25.6640625" style="187" customWidth="1"/>
    <col min="521" max="522" width="16.6640625" style="187" customWidth="1"/>
    <col min="523" max="523" width="26.6640625" style="187" customWidth="1"/>
    <col min="524" max="763" width="9.33203125" style="187"/>
    <col min="764" max="764" width="71" style="187" customWidth="1"/>
    <col min="765" max="765" width="22.6640625" style="187" bestFit="1" customWidth="1"/>
    <col min="766" max="766" width="33" style="187" bestFit="1" customWidth="1"/>
    <col min="767" max="767" width="26.5546875" style="187" bestFit="1" customWidth="1"/>
    <col min="768" max="768" width="22.6640625" style="187" bestFit="1" customWidth="1"/>
    <col min="769" max="769" width="33" style="187" bestFit="1" customWidth="1"/>
    <col min="770" max="770" width="26.5546875" style="187" customWidth="1"/>
    <col min="771" max="771" width="22.6640625" style="187" bestFit="1" customWidth="1"/>
    <col min="772" max="773" width="33" style="187" bestFit="1" customWidth="1"/>
    <col min="774" max="774" width="22.6640625" style="187" bestFit="1" customWidth="1"/>
    <col min="775" max="775" width="33" style="187" bestFit="1" customWidth="1"/>
    <col min="776" max="776" width="25.6640625" style="187" customWidth="1"/>
    <col min="777" max="778" width="16.6640625" style="187" customWidth="1"/>
    <col min="779" max="779" width="26.6640625" style="187" customWidth="1"/>
    <col min="780" max="1019" width="9.33203125" style="187"/>
    <col min="1020" max="1020" width="71" style="187" customWidth="1"/>
    <col min="1021" max="1021" width="22.6640625" style="187" bestFit="1" customWidth="1"/>
    <col min="1022" max="1022" width="33" style="187" bestFit="1" customWidth="1"/>
    <col min="1023" max="1023" width="26.5546875" style="187" bestFit="1" customWidth="1"/>
    <col min="1024" max="1024" width="22.6640625" style="187" bestFit="1" customWidth="1"/>
    <col min="1025" max="1025" width="33" style="187" bestFit="1" customWidth="1"/>
    <col min="1026" max="1026" width="26.5546875" style="187" customWidth="1"/>
    <col min="1027" max="1027" width="22.6640625" style="187" bestFit="1" customWidth="1"/>
    <col min="1028" max="1029" width="33" style="187" bestFit="1" customWidth="1"/>
    <col min="1030" max="1030" width="22.6640625" style="187" bestFit="1" customWidth="1"/>
    <col min="1031" max="1031" width="33" style="187" bestFit="1" customWidth="1"/>
    <col min="1032" max="1032" width="25.6640625" style="187" customWidth="1"/>
    <col min="1033" max="1034" width="16.6640625" style="187" customWidth="1"/>
    <col min="1035" max="1035" width="26.6640625" style="187" customWidth="1"/>
    <col min="1036" max="1275" width="9.33203125" style="187"/>
    <col min="1276" max="1276" width="71" style="187" customWidth="1"/>
    <col min="1277" max="1277" width="22.6640625" style="187" bestFit="1" customWidth="1"/>
    <col min="1278" max="1278" width="33" style="187" bestFit="1" customWidth="1"/>
    <col min="1279" max="1279" width="26.5546875" style="187" bestFit="1" customWidth="1"/>
    <col min="1280" max="1280" width="22.6640625" style="187" bestFit="1" customWidth="1"/>
    <col min="1281" max="1281" width="33" style="187" bestFit="1" customWidth="1"/>
    <col min="1282" max="1282" width="26.5546875" style="187" customWidth="1"/>
    <col min="1283" max="1283" width="22.6640625" style="187" bestFit="1" customWidth="1"/>
    <col min="1284" max="1285" width="33" style="187" bestFit="1" customWidth="1"/>
    <col min="1286" max="1286" width="22.6640625" style="187" bestFit="1" customWidth="1"/>
    <col min="1287" max="1287" width="33" style="187" bestFit="1" customWidth="1"/>
    <col min="1288" max="1288" width="25.6640625" style="187" customWidth="1"/>
    <col min="1289" max="1290" width="16.6640625" style="187" customWidth="1"/>
    <col min="1291" max="1291" width="26.6640625" style="187" customWidth="1"/>
    <col min="1292" max="1531" width="9.33203125" style="187"/>
    <col min="1532" max="1532" width="71" style="187" customWidth="1"/>
    <col min="1533" max="1533" width="22.6640625" style="187" bestFit="1" customWidth="1"/>
    <col min="1534" max="1534" width="33" style="187" bestFit="1" customWidth="1"/>
    <col min="1535" max="1535" width="26.5546875" style="187" bestFit="1" customWidth="1"/>
    <col min="1536" max="1536" width="22.6640625" style="187" bestFit="1" customWidth="1"/>
    <col min="1537" max="1537" width="33" style="187" bestFit="1" customWidth="1"/>
    <col min="1538" max="1538" width="26.5546875" style="187" customWidth="1"/>
    <col min="1539" max="1539" width="22.6640625" style="187" bestFit="1" customWidth="1"/>
    <col min="1540" max="1541" width="33" style="187" bestFit="1" customWidth="1"/>
    <col min="1542" max="1542" width="22.6640625" style="187" bestFit="1" customWidth="1"/>
    <col min="1543" max="1543" width="33" style="187" bestFit="1" customWidth="1"/>
    <col min="1544" max="1544" width="25.6640625" style="187" customWidth="1"/>
    <col min="1545" max="1546" width="16.6640625" style="187" customWidth="1"/>
    <col min="1547" max="1547" width="26.6640625" style="187" customWidth="1"/>
    <col min="1548" max="1787" width="9.33203125" style="187"/>
    <col min="1788" max="1788" width="71" style="187" customWidth="1"/>
    <col min="1789" max="1789" width="22.6640625" style="187" bestFit="1" customWidth="1"/>
    <col min="1790" max="1790" width="33" style="187" bestFit="1" customWidth="1"/>
    <col min="1791" max="1791" width="26.5546875" style="187" bestFit="1" customWidth="1"/>
    <col min="1792" max="1792" width="22.6640625" style="187" bestFit="1" customWidth="1"/>
    <col min="1793" max="1793" width="33" style="187" bestFit="1" customWidth="1"/>
    <col min="1794" max="1794" width="26.5546875" style="187" customWidth="1"/>
    <col min="1795" max="1795" width="22.6640625" style="187" bestFit="1" customWidth="1"/>
    <col min="1796" max="1797" width="33" style="187" bestFit="1" customWidth="1"/>
    <col min="1798" max="1798" width="22.6640625" style="187" bestFit="1" customWidth="1"/>
    <col min="1799" max="1799" width="33" style="187" bestFit="1" customWidth="1"/>
    <col min="1800" max="1800" width="25.6640625" style="187" customWidth="1"/>
    <col min="1801" max="1802" width="16.6640625" style="187" customWidth="1"/>
    <col min="1803" max="1803" width="26.6640625" style="187" customWidth="1"/>
    <col min="1804" max="2043" width="9.33203125" style="187"/>
    <col min="2044" max="2044" width="71" style="187" customWidth="1"/>
    <col min="2045" max="2045" width="22.6640625" style="187" bestFit="1" customWidth="1"/>
    <col min="2046" max="2046" width="33" style="187" bestFit="1" customWidth="1"/>
    <col min="2047" max="2047" width="26.5546875" style="187" bestFit="1" customWidth="1"/>
    <col min="2048" max="2048" width="22.6640625" style="187" bestFit="1" customWidth="1"/>
    <col min="2049" max="2049" width="33" style="187" bestFit="1" customWidth="1"/>
    <col min="2050" max="2050" width="26.5546875" style="187" customWidth="1"/>
    <col min="2051" max="2051" width="22.6640625" style="187" bestFit="1" customWidth="1"/>
    <col min="2052" max="2053" width="33" style="187" bestFit="1" customWidth="1"/>
    <col min="2054" max="2054" width="22.6640625" style="187" bestFit="1" customWidth="1"/>
    <col min="2055" max="2055" width="33" style="187" bestFit="1" customWidth="1"/>
    <col min="2056" max="2056" width="25.6640625" style="187" customWidth="1"/>
    <col min="2057" max="2058" width="16.6640625" style="187" customWidth="1"/>
    <col min="2059" max="2059" width="26.6640625" style="187" customWidth="1"/>
    <col min="2060" max="2299" width="9.33203125" style="187"/>
    <col min="2300" max="2300" width="71" style="187" customWidth="1"/>
    <col min="2301" max="2301" width="22.6640625" style="187" bestFit="1" customWidth="1"/>
    <col min="2302" max="2302" width="33" style="187" bestFit="1" customWidth="1"/>
    <col min="2303" max="2303" width="26.5546875" style="187" bestFit="1" customWidth="1"/>
    <col min="2304" max="2304" width="22.6640625" style="187" bestFit="1" customWidth="1"/>
    <col min="2305" max="2305" width="33" style="187" bestFit="1" customWidth="1"/>
    <col min="2306" max="2306" width="26.5546875" style="187" customWidth="1"/>
    <col min="2307" max="2307" width="22.6640625" style="187" bestFit="1" customWidth="1"/>
    <col min="2308" max="2309" width="33" style="187" bestFit="1" customWidth="1"/>
    <col min="2310" max="2310" width="22.6640625" style="187" bestFit="1" customWidth="1"/>
    <col min="2311" max="2311" width="33" style="187" bestFit="1" customWidth="1"/>
    <col min="2312" max="2312" width="25.6640625" style="187" customWidth="1"/>
    <col min="2313" max="2314" width="16.6640625" style="187" customWidth="1"/>
    <col min="2315" max="2315" width="26.6640625" style="187" customWidth="1"/>
    <col min="2316" max="2555" width="9.33203125" style="187"/>
    <col min="2556" max="2556" width="71" style="187" customWidth="1"/>
    <col min="2557" max="2557" width="22.6640625" style="187" bestFit="1" customWidth="1"/>
    <col min="2558" max="2558" width="33" style="187" bestFit="1" customWidth="1"/>
    <col min="2559" max="2559" width="26.5546875" style="187" bestFit="1" customWidth="1"/>
    <col min="2560" max="2560" width="22.6640625" style="187" bestFit="1" customWidth="1"/>
    <col min="2561" max="2561" width="33" style="187" bestFit="1" customWidth="1"/>
    <col min="2562" max="2562" width="26.5546875" style="187" customWidth="1"/>
    <col min="2563" max="2563" width="22.6640625" style="187" bestFit="1" customWidth="1"/>
    <col min="2564" max="2565" width="33" style="187" bestFit="1" customWidth="1"/>
    <col min="2566" max="2566" width="22.6640625" style="187" bestFit="1" customWidth="1"/>
    <col min="2567" max="2567" width="33" style="187" bestFit="1" customWidth="1"/>
    <col min="2568" max="2568" width="25.6640625" style="187" customWidth="1"/>
    <col min="2569" max="2570" width="16.6640625" style="187" customWidth="1"/>
    <col min="2571" max="2571" width="26.6640625" style="187" customWidth="1"/>
    <col min="2572" max="2811" width="9.33203125" style="187"/>
    <col min="2812" max="2812" width="71" style="187" customWidth="1"/>
    <col min="2813" max="2813" width="22.6640625" style="187" bestFit="1" customWidth="1"/>
    <col min="2814" max="2814" width="33" style="187" bestFit="1" customWidth="1"/>
    <col min="2815" max="2815" width="26.5546875" style="187" bestFit="1" customWidth="1"/>
    <col min="2816" max="2816" width="22.6640625" style="187" bestFit="1" customWidth="1"/>
    <col min="2817" max="2817" width="33" style="187" bestFit="1" customWidth="1"/>
    <col min="2818" max="2818" width="26.5546875" style="187" customWidth="1"/>
    <col min="2819" max="2819" width="22.6640625" style="187" bestFit="1" customWidth="1"/>
    <col min="2820" max="2821" width="33" style="187" bestFit="1" customWidth="1"/>
    <col min="2822" max="2822" width="22.6640625" style="187" bestFit="1" customWidth="1"/>
    <col min="2823" max="2823" width="33" style="187" bestFit="1" customWidth="1"/>
    <col min="2824" max="2824" width="25.6640625" style="187" customWidth="1"/>
    <col min="2825" max="2826" width="16.6640625" style="187" customWidth="1"/>
    <col min="2827" max="2827" width="26.6640625" style="187" customWidth="1"/>
    <col min="2828" max="3067" width="9.33203125" style="187"/>
    <col min="3068" max="3068" width="71" style="187" customWidth="1"/>
    <col min="3069" max="3069" width="22.6640625" style="187" bestFit="1" customWidth="1"/>
    <col min="3070" max="3070" width="33" style="187" bestFit="1" customWidth="1"/>
    <col min="3071" max="3071" width="26.5546875" style="187" bestFit="1" customWidth="1"/>
    <col min="3072" max="3072" width="22.6640625" style="187" bestFit="1" customWidth="1"/>
    <col min="3073" max="3073" width="33" style="187" bestFit="1" customWidth="1"/>
    <col min="3074" max="3074" width="26.5546875" style="187" customWidth="1"/>
    <col min="3075" max="3075" width="22.6640625" style="187" bestFit="1" customWidth="1"/>
    <col min="3076" max="3077" width="33" style="187" bestFit="1" customWidth="1"/>
    <col min="3078" max="3078" width="22.6640625" style="187" bestFit="1" customWidth="1"/>
    <col min="3079" max="3079" width="33" style="187" bestFit="1" customWidth="1"/>
    <col min="3080" max="3080" width="25.6640625" style="187" customWidth="1"/>
    <col min="3081" max="3082" width="16.6640625" style="187" customWidth="1"/>
    <col min="3083" max="3083" width="26.6640625" style="187" customWidth="1"/>
    <col min="3084" max="3323" width="9.33203125" style="187"/>
    <col min="3324" max="3324" width="71" style="187" customWidth="1"/>
    <col min="3325" max="3325" width="22.6640625" style="187" bestFit="1" customWidth="1"/>
    <col min="3326" max="3326" width="33" style="187" bestFit="1" customWidth="1"/>
    <col min="3327" max="3327" width="26.5546875" style="187" bestFit="1" customWidth="1"/>
    <col min="3328" max="3328" width="22.6640625" style="187" bestFit="1" customWidth="1"/>
    <col min="3329" max="3329" width="33" style="187" bestFit="1" customWidth="1"/>
    <col min="3330" max="3330" width="26.5546875" style="187" customWidth="1"/>
    <col min="3331" max="3331" width="22.6640625" style="187" bestFit="1" customWidth="1"/>
    <col min="3332" max="3333" width="33" style="187" bestFit="1" customWidth="1"/>
    <col min="3334" max="3334" width="22.6640625" style="187" bestFit="1" customWidth="1"/>
    <col min="3335" max="3335" width="33" style="187" bestFit="1" customWidth="1"/>
    <col min="3336" max="3336" width="25.6640625" style="187" customWidth="1"/>
    <col min="3337" max="3338" width="16.6640625" style="187" customWidth="1"/>
    <col min="3339" max="3339" width="26.6640625" style="187" customWidth="1"/>
    <col min="3340" max="3579" width="9.33203125" style="187"/>
    <col min="3580" max="3580" width="71" style="187" customWidth="1"/>
    <col min="3581" max="3581" width="22.6640625" style="187" bestFit="1" customWidth="1"/>
    <col min="3582" max="3582" width="33" style="187" bestFit="1" customWidth="1"/>
    <col min="3583" max="3583" width="26.5546875" style="187" bestFit="1" customWidth="1"/>
    <col min="3584" max="3584" width="22.6640625" style="187" bestFit="1" customWidth="1"/>
    <col min="3585" max="3585" width="33" style="187" bestFit="1" customWidth="1"/>
    <col min="3586" max="3586" width="26.5546875" style="187" customWidth="1"/>
    <col min="3587" max="3587" width="22.6640625" style="187" bestFit="1" customWidth="1"/>
    <col min="3588" max="3589" width="33" style="187" bestFit="1" customWidth="1"/>
    <col min="3590" max="3590" width="22.6640625" style="187" bestFit="1" customWidth="1"/>
    <col min="3591" max="3591" width="33" style="187" bestFit="1" customWidth="1"/>
    <col min="3592" max="3592" width="25.6640625" style="187" customWidth="1"/>
    <col min="3593" max="3594" width="16.6640625" style="187" customWidth="1"/>
    <col min="3595" max="3595" width="26.6640625" style="187" customWidth="1"/>
    <col min="3596" max="3835" width="9.33203125" style="187"/>
    <col min="3836" max="3836" width="71" style="187" customWidth="1"/>
    <col min="3837" max="3837" width="22.6640625" style="187" bestFit="1" customWidth="1"/>
    <col min="3838" max="3838" width="33" style="187" bestFit="1" customWidth="1"/>
    <col min="3839" max="3839" width="26.5546875" style="187" bestFit="1" customWidth="1"/>
    <col min="3840" max="3840" width="22.6640625" style="187" bestFit="1" customWidth="1"/>
    <col min="3841" max="3841" width="33" style="187" bestFit="1" customWidth="1"/>
    <col min="3842" max="3842" width="26.5546875" style="187" customWidth="1"/>
    <col min="3843" max="3843" width="22.6640625" style="187" bestFit="1" customWidth="1"/>
    <col min="3844" max="3845" width="33" style="187" bestFit="1" customWidth="1"/>
    <col min="3846" max="3846" width="22.6640625" style="187" bestFit="1" customWidth="1"/>
    <col min="3847" max="3847" width="33" style="187" bestFit="1" customWidth="1"/>
    <col min="3848" max="3848" width="25.6640625" style="187" customWidth="1"/>
    <col min="3849" max="3850" width="16.6640625" style="187" customWidth="1"/>
    <col min="3851" max="3851" width="26.6640625" style="187" customWidth="1"/>
    <col min="3852" max="4091" width="9.33203125" style="187"/>
    <col min="4092" max="4092" width="71" style="187" customWidth="1"/>
    <col min="4093" max="4093" width="22.6640625" style="187" bestFit="1" customWidth="1"/>
    <col min="4094" max="4094" width="33" style="187" bestFit="1" customWidth="1"/>
    <col min="4095" max="4095" width="26.5546875" style="187" bestFit="1" customWidth="1"/>
    <col min="4096" max="4096" width="22.6640625" style="187" bestFit="1" customWidth="1"/>
    <col min="4097" max="4097" width="33" style="187" bestFit="1" customWidth="1"/>
    <col min="4098" max="4098" width="26.5546875" style="187" customWidth="1"/>
    <col min="4099" max="4099" width="22.6640625" style="187" bestFit="1" customWidth="1"/>
    <col min="4100" max="4101" width="33" style="187" bestFit="1" customWidth="1"/>
    <col min="4102" max="4102" width="22.6640625" style="187" bestFit="1" customWidth="1"/>
    <col min="4103" max="4103" width="33" style="187" bestFit="1" customWidth="1"/>
    <col min="4104" max="4104" width="25.6640625" style="187" customWidth="1"/>
    <col min="4105" max="4106" width="16.6640625" style="187" customWidth="1"/>
    <col min="4107" max="4107" width="26.6640625" style="187" customWidth="1"/>
    <col min="4108" max="4347" width="9.33203125" style="187"/>
    <col min="4348" max="4348" width="71" style="187" customWidth="1"/>
    <col min="4349" max="4349" width="22.6640625" style="187" bestFit="1" customWidth="1"/>
    <col min="4350" max="4350" width="33" style="187" bestFit="1" customWidth="1"/>
    <col min="4351" max="4351" width="26.5546875" style="187" bestFit="1" customWidth="1"/>
    <col min="4352" max="4352" width="22.6640625" style="187" bestFit="1" customWidth="1"/>
    <col min="4353" max="4353" width="33" style="187" bestFit="1" customWidth="1"/>
    <col min="4354" max="4354" width="26.5546875" style="187" customWidth="1"/>
    <col min="4355" max="4355" width="22.6640625" style="187" bestFit="1" customWidth="1"/>
    <col min="4356" max="4357" width="33" style="187" bestFit="1" customWidth="1"/>
    <col min="4358" max="4358" width="22.6640625" style="187" bestFit="1" customWidth="1"/>
    <col min="4359" max="4359" width="33" style="187" bestFit="1" customWidth="1"/>
    <col min="4360" max="4360" width="25.6640625" style="187" customWidth="1"/>
    <col min="4361" max="4362" width="16.6640625" style="187" customWidth="1"/>
    <col min="4363" max="4363" width="26.6640625" style="187" customWidth="1"/>
    <col min="4364" max="4603" width="9.33203125" style="187"/>
    <col min="4604" max="4604" width="71" style="187" customWidth="1"/>
    <col min="4605" max="4605" width="22.6640625" style="187" bestFit="1" customWidth="1"/>
    <col min="4606" max="4606" width="33" style="187" bestFit="1" customWidth="1"/>
    <col min="4607" max="4607" width="26.5546875" style="187" bestFit="1" customWidth="1"/>
    <col min="4608" max="4608" width="22.6640625" style="187" bestFit="1" customWidth="1"/>
    <col min="4609" max="4609" width="33" style="187" bestFit="1" customWidth="1"/>
    <col min="4610" max="4610" width="26.5546875" style="187" customWidth="1"/>
    <col min="4611" max="4611" width="22.6640625" style="187" bestFit="1" customWidth="1"/>
    <col min="4612" max="4613" width="33" style="187" bestFit="1" customWidth="1"/>
    <col min="4614" max="4614" width="22.6640625" style="187" bestFit="1" customWidth="1"/>
    <col min="4615" max="4615" width="33" style="187" bestFit="1" customWidth="1"/>
    <col min="4616" max="4616" width="25.6640625" style="187" customWidth="1"/>
    <col min="4617" max="4618" width="16.6640625" style="187" customWidth="1"/>
    <col min="4619" max="4619" width="26.6640625" style="187" customWidth="1"/>
    <col min="4620" max="4859" width="9.33203125" style="187"/>
    <col min="4860" max="4860" width="71" style="187" customWidth="1"/>
    <col min="4861" max="4861" width="22.6640625" style="187" bestFit="1" customWidth="1"/>
    <col min="4862" max="4862" width="33" style="187" bestFit="1" customWidth="1"/>
    <col min="4863" max="4863" width="26.5546875" style="187" bestFit="1" customWidth="1"/>
    <col min="4864" max="4864" width="22.6640625" style="187" bestFit="1" customWidth="1"/>
    <col min="4865" max="4865" width="33" style="187" bestFit="1" customWidth="1"/>
    <col min="4866" max="4866" width="26.5546875" style="187" customWidth="1"/>
    <col min="4867" max="4867" width="22.6640625" style="187" bestFit="1" customWidth="1"/>
    <col min="4868" max="4869" width="33" style="187" bestFit="1" customWidth="1"/>
    <col min="4870" max="4870" width="22.6640625" style="187" bestFit="1" customWidth="1"/>
    <col min="4871" max="4871" width="33" style="187" bestFit="1" customWidth="1"/>
    <col min="4872" max="4872" width="25.6640625" style="187" customWidth="1"/>
    <col min="4873" max="4874" width="16.6640625" style="187" customWidth="1"/>
    <col min="4875" max="4875" width="26.6640625" style="187" customWidth="1"/>
    <col min="4876" max="5115" width="9.33203125" style="187"/>
    <col min="5116" max="5116" width="71" style="187" customWidth="1"/>
    <col min="5117" max="5117" width="22.6640625" style="187" bestFit="1" customWidth="1"/>
    <col min="5118" max="5118" width="33" style="187" bestFit="1" customWidth="1"/>
    <col min="5119" max="5119" width="26.5546875" style="187" bestFit="1" customWidth="1"/>
    <col min="5120" max="5120" width="22.6640625" style="187" bestFit="1" customWidth="1"/>
    <col min="5121" max="5121" width="33" style="187" bestFit="1" customWidth="1"/>
    <col min="5122" max="5122" width="26.5546875" style="187" customWidth="1"/>
    <col min="5123" max="5123" width="22.6640625" style="187" bestFit="1" customWidth="1"/>
    <col min="5124" max="5125" width="33" style="187" bestFit="1" customWidth="1"/>
    <col min="5126" max="5126" width="22.6640625" style="187" bestFit="1" customWidth="1"/>
    <col min="5127" max="5127" width="33" style="187" bestFit="1" customWidth="1"/>
    <col min="5128" max="5128" width="25.6640625" style="187" customWidth="1"/>
    <col min="5129" max="5130" width="16.6640625" style="187" customWidth="1"/>
    <col min="5131" max="5131" width="26.6640625" style="187" customWidth="1"/>
    <col min="5132" max="5371" width="9.33203125" style="187"/>
    <col min="5372" max="5372" width="71" style="187" customWidth="1"/>
    <col min="5373" max="5373" width="22.6640625" style="187" bestFit="1" customWidth="1"/>
    <col min="5374" max="5374" width="33" style="187" bestFit="1" customWidth="1"/>
    <col min="5375" max="5375" width="26.5546875" style="187" bestFit="1" customWidth="1"/>
    <col min="5376" max="5376" width="22.6640625" style="187" bestFit="1" customWidth="1"/>
    <col min="5377" max="5377" width="33" style="187" bestFit="1" customWidth="1"/>
    <col min="5378" max="5378" width="26.5546875" style="187" customWidth="1"/>
    <col min="5379" max="5379" width="22.6640625" style="187" bestFit="1" customWidth="1"/>
    <col min="5380" max="5381" width="33" style="187" bestFit="1" customWidth="1"/>
    <col min="5382" max="5382" width="22.6640625" style="187" bestFit="1" customWidth="1"/>
    <col min="5383" max="5383" width="33" style="187" bestFit="1" customWidth="1"/>
    <col min="5384" max="5384" width="25.6640625" style="187" customWidth="1"/>
    <col min="5385" max="5386" width="16.6640625" style="187" customWidth="1"/>
    <col min="5387" max="5387" width="26.6640625" style="187" customWidth="1"/>
    <col min="5388" max="5627" width="9.33203125" style="187"/>
    <col min="5628" max="5628" width="71" style="187" customWidth="1"/>
    <col min="5629" max="5629" width="22.6640625" style="187" bestFit="1" customWidth="1"/>
    <col min="5630" max="5630" width="33" style="187" bestFit="1" customWidth="1"/>
    <col min="5631" max="5631" width="26.5546875" style="187" bestFit="1" customWidth="1"/>
    <col min="5632" max="5632" width="22.6640625" style="187" bestFit="1" customWidth="1"/>
    <col min="5633" max="5633" width="33" style="187" bestFit="1" customWidth="1"/>
    <col min="5634" max="5634" width="26.5546875" style="187" customWidth="1"/>
    <col min="5635" max="5635" width="22.6640625" style="187" bestFit="1" customWidth="1"/>
    <col min="5636" max="5637" width="33" style="187" bestFit="1" customWidth="1"/>
    <col min="5638" max="5638" width="22.6640625" style="187" bestFit="1" customWidth="1"/>
    <col min="5639" max="5639" width="33" style="187" bestFit="1" customWidth="1"/>
    <col min="5640" max="5640" width="25.6640625" style="187" customWidth="1"/>
    <col min="5641" max="5642" width="16.6640625" style="187" customWidth="1"/>
    <col min="5643" max="5643" width="26.6640625" style="187" customWidth="1"/>
    <col min="5644" max="5883" width="9.33203125" style="187"/>
    <col min="5884" max="5884" width="71" style="187" customWidth="1"/>
    <col min="5885" max="5885" width="22.6640625" style="187" bestFit="1" customWidth="1"/>
    <col min="5886" max="5886" width="33" style="187" bestFit="1" customWidth="1"/>
    <col min="5887" max="5887" width="26.5546875" style="187" bestFit="1" customWidth="1"/>
    <col min="5888" max="5888" width="22.6640625" style="187" bestFit="1" customWidth="1"/>
    <col min="5889" max="5889" width="33" style="187" bestFit="1" customWidth="1"/>
    <col min="5890" max="5890" width="26.5546875" style="187" customWidth="1"/>
    <col min="5891" max="5891" width="22.6640625" style="187" bestFit="1" customWidth="1"/>
    <col min="5892" max="5893" width="33" style="187" bestFit="1" customWidth="1"/>
    <col min="5894" max="5894" width="22.6640625" style="187" bestFit="1" customWidth="1"/>
    <col min="5895" max="5895" width="33" style="187" bestFit="1" customWidth="1"/>
    <col min="5896" max="5896" width="25.6640625" style="187" customWidth="1"/>
    <col min="5897" max="5898" width="16.6640625" style="187" customWidth="1"/>
    <col min="5899" max="5899" width="26.6640625" style="187" customWidth="1"/>
    <col min="5900" max="6139" width="9.33203125" style="187"/>
    <col min="6140" max="6140" width="71" style="187" customWidth="1"/>
    <col min="6141" max="6141" width="22.6640625" style="187" bestFit="1" customWidth="1"/>
    <col min="6142" max="6142" width="33" style="187" bestFit="1" customWidth="1"/>
    <col min="6143" max="6143" width="26.5546875" style="187" bestFit="1" customWidth="1"/>
    <col min="6144" max="6144" width="22.6640625" style="187" bestFit="1" customWidth="1"/>
    <col min="6145" max="6145" width="33" style="187" bestFit="1" customWidth="1"/>
    <col min="6146" max="6146" width="26.5546875" style="187" customWidth="1"/>
    <col min="6147" max="6147" width="22.6640625" style="187" bestFit="1" customWidth="1"/>
    <col min="6148" max="6149" width="33" style="187" bestFit="1" customWidth="1"/>
    <col min="6150" max="6150" width="22.6640625" style="187" bestFit="1" customWidth="1"/>
    <col min="6151" max="6151" width="33" style="187" bestFit="1" customWidth="1"/>
    <col min="6152" max="6152" width="25.6640625" style="187" customWidth="1"/>
    <col min="6153" max="6154" width="16.6640625" style="187" customWidth="1"/>
    <col min="6155" max="6155" width="26.6640625" style="187" customWidth="1"/>
    <col min="6156" max="6395" width="9.33203125" style="187"/>
    <col min="6396" max="6396" width="71" style="187" customWidth="1"/>
    <col min="6397" max="6397" width="22.6640625" style="187" bestFit="1" customWidth="1"/>
    <col min="6398" max="6398" width="33" style="187" bestFit="1" customWidth="1"/>
    <col min="6399" max="6399" width="26.5546875" style="187" bestFit="1" customWidth="1"/>
    <col min="6400" max="6400" width="22.6640625" style="187" bestFit="1" customWidth="1"/>
    <col min="6401" max="6401" width="33" style="187" bestFit="1" customWidth="1"/>
    <col min="6402" max="6402" width="26.5546875" style="187" customWidth="1"/>
    <col min="6403" max="6403" width="22.6640625" style="187" bestFit="1" customWidth="1"/>
    <col min="6404" max="6405" width="33" style="187" bestFit="1" customWidth="1"/>
    <col min="6406" max="6406" width="22.6640625" style="187" bestFit="1" customWidth="1"/>
    <col min="6407" max="6407" width="33" style="187" bestFit="1" customWidth="1"/>
    <col min="6408" max="6408" width="25.6640625" style="187" customWidth="1"/>
    <col min="6409" max="6410" width="16.6640625" style="187" customWidth="1"/>
    <col min="6411" max="6411" width="26.6640625" style="187" customWidth="1"/>
    <col min="6412" max="6651" width="9.33203125" style="187"/>
    <col min="6652" max="6652" width="71" style="187" customWidth="1"/>
    <col min="6653" max="6653" width="22.6640625" style="187" bestFit="1" customWidth="1"/>
    <col min="6654" max="6654" width="33" style="187" bestFit="1" customWidth="1"/>
    <col min="6655" max="6655" width="26.5546875" style="187" bestFit="1" customWidth="1"/>
    <col min="6656" max="6656" width="22.6640625" style="187" bestFit="1" customWidth="1"/>
    <col min="6657" max="6657" width="33" style="187" bestFit="1" customWidth="1"/>
    <col min="6658" max="6658" width="26.5546875" style="187" customWidth="1"/>
    <col min="6659" max="6659" width="22.6640625" style="187" bestFit="1" customWidth="1"/>
    <col min="6660" max="6661" width="33" style="187" bestFit="1" customWidth="1"/>
    <col min="6662" max="6662" width="22.6640625" style="187" bestFit="1" customWidth="1"/>
    <col min="6663" max="6663" width="33" style="187" bestFit="1" customWidth="1"/>
    <col min="6664" max="6664" width="25.6640625" style="187" customWidth="1"/>
    <col min="6665" max="6666" width="16.6640625" style="187" customWidth="1"/>
    <col min="6667" max="6667" width="26.6640625" style="187" customWidth="1"/>
    <col min="6668" max="6907" width="9.33203125" style="187"/>
    <col min="6908" max="6908" width="71" style="187" customWidth="1"/>
    <col min="6909" max="6909" width="22.6640625" style="187" bestFit="1" customWidth="1"/>
    <col min="6910" max="6910" width="33" style="187" bestFit="1" customWidth="1"/>
    <col min="6911" max="6911" width="26.5546875" style="187" bestFit="1" customWidth="1"/>
    <col min="6912" max="6912" width="22.6640625" style="187" bestFit="1" customWidth="1"/>
    <col min="6913" max="6913" width="33" style="187" bestFit="1" customWidth="1"/>
    <col min="6914" max="6914" width="26.5546875" style="187" customWidth="1"/>
    <col min="6915" max="6915" width="22.6640625" style="187" bestFit="1" customWidth="1"/>
    <col min="6916" max="6917" width="33" style="187" bestFit="1" customWidth="1"/>
    <col min="6918" max="6918" width="22.6640625" style="187" bestFit="1" customWidth="1"/>
    <col min="6919" max="6919" width="33" style="187" bestFit="1" customWidth="1"/>
    <col min="6920" max="6920" width="25.6640625" style="187" customWidth="1"/>
    <col min="6921" max="6922" width="16.6640625" style="187" customWidth="1"/>
    <col min="6923" max="6923" width="26.6640625" style="187" customWidth="1"/>
    <col min="6924" max="7163" width="9.33203125" style="187"/>
    <col min="7164" max="7164" width="71" style="187" customWidth="1"/>
    <col min="7165" max="7165" width="22.6640625" style="187" bestFit="1" customWidth="1"/>
    <col min="7166" max="7166" width="33" style="187" bestFit="1" customWidth="1"/>
    <col min="7167" max="7167" width="26.5546875" style="187" bestFit="1" customWidth="1"/>
    <col min="7168" max="7168" width="22.6640625" style="187" bestFit="1" customWidth="1"/>
    <col min="7169" max="7169" width="33" style="187" bestFit="1" customWidth="1"/>
    <col min="7170" max="7170" width="26.5546875" style="187" customWidth="1"/>
    <col min="7171" max="7171" width="22.6640625" style="187" bestFit="1" customWidth="1"/>
    <col min="7172" max="7173" width="33" style="187" bestFit="1" customWidth="1"/>
    <col min="7174" max="7174" width="22.6640625" style="187" bestFit="1" customWidth="1"/>
    <col min="7175" max="7175" width="33" style="187" bestFit="1" customWidth="1"/>
    <col min="7176" max="7176" width="25.6640625" style="187" customWidth="1"/>
    <col min="7177" max="7178" width="16.6640625" style="187" customWidth="1"/>
    <col min="7179" max="7179" width="26.6640625" style="187" customWidth="1"/>
    <col min="7180" max="7419" width="9.33203125" style="187"/>
    <col min="7420" max="7420" width="71" style="187" customWidth="1"/>
    <col min="7421" max="7421" width="22.6640625" style="187" bestFit="1" customWidth="1"/>
    <col min="7422" max="7422" width="33" style="187" bestFit="1" customWidth="1"/>
    <col min="7423" max="7423" width="26.5546875" style="187" bestFit="1" customWidth="1"/>
    <col min="7424" max="7424" width="22.6640625" style="187" bestFit="1" customWidth="1"/>
    <col min="7425" max="7425" width="33" style="187" bestFit="1" customWidth="1"/>
    <col min="7426" max="7426" width="26.5546875" style="187" customWidth="1"/>
    <col min="7427" max="7427" width="22.6640625" style="187" bestFit="1" customWidth="1"/>
    <col min="7428" max="7429" width="33" style="187" bestFit="1" customWidth="1"/>
    <col min="7430" max="7430" width="22.6640625" style="187" bestFit="1" customWidth="1"/>
    <col min="7431" max="7431" width="33" style="187" bestFit="1" customWidth="1"/>
    <col min="7432" max="7432" width="25.6640625" style="187" customWidth="1"/>
    <col min="7433" max="7434" width="16.6640625" style="187" customWidth="1"/>
    <col min="7435" max="7435" width="26.6640625" style="187" customWidth="1"/>
    <col min="7436" max="7675" width="9.33203125" style="187"/>
    <col min="7676" max="7676" width="71" style="187" customWidth="1"/>
    <col min="7677" max="7677" width="22.6640625" style="187" bestFit="1" customWidth="1"/>
    <col min="7678" max="7678" width="33" style="187" bestFit="1" customWidth="1"/>
    <col min="7679" max="7679" width="26.5546875" style="187" bestFit="1" customWidth="1"/>
    <col min="7680" max="7680" width="22.6640625" style="187" bestFit="1" customWidth="1"/>
    <col min="7681" max="7681" width="33" style="187" bestFit="1" customWidth="1"/>
    <col min="7682" max="7682" width="26.5546875" style="187" customWidth="1"/>
    <col min="7683" max="7683" width="22.6640625" style="187" bestFit="1" customWidth="1"/>
    <col min="7684" max="7685" width="33" style="187" bestFit="1" customWidth="1"/>
    <col min="7686" max="7686" width="22.6640625" style="187" bestFit="1" customWidth="1"/>
    <col min="7687" max="7687" width="33" style="187" bestFit="1" customWidth="1"/>
    <col min="7688" max="7688" width="25.6640625" style="187" customWidth="1"/>
    <col min="7689" max="7690" width="16.6640625" style="187" customWidth="1"/>
    <col min="7691" max="7691" width="26.6640625" style="187" customWidth="1"/>
    <col min="7692" max="7931" width="9.33203125" style="187"/>
    <col min="7932" max="7932" width="71" style="187" customWidth="1"/>
    <col min="7933" max="7933" width="22.6640625" style="187" bestFit="1" customWidth="1"/>
    <col min="7934" max="7934" width="33" style="187" bestFit="1" customWidth="1"/>
    <col min="7935" max="7935" width="26.5546875" style="187" bestFit="1" customWidth="1"/>
    <col min="7936" max="7936" width="22.6640625" style="187" bestFit="1" customWidth="1"/>
    <col min="7937" max="7937" width="33" style="187" bestFit="1" customWidth="1"/>
    <col min="7938" max="7938" width="26.5546875" style="187" customWidth="1"/>
    <col min="7939" max="7939" width="22.6640625" style="187" bestFit="1" customWidth="1"/>
    <col min="7940" max="7941" width="33" style="187" bestFit="1" customWidth="1"/>
    <col min="7942" max="7942" width="22.6640625" style="187" bestFit="1" customWidth="1"/>
    <col min="7943" max="7943" width="33" style="187" bestFit="1" customWidth="1"/>
    <col min="7944" max="7944" width="25.6640625" style="187" customWidth="1"/>
    <col min="7945" max="7946" width="16.6640625" style="187" customWidth="1"/>
    <col min="7947" max="7947" width="26.6640625" style="187" customWidth="1"/>
    <col min="7948" max="8187" width="9.33203125" style="187"/>
    <col min="8188" max="8188" width="71" style="187" customWidth="1"/>
    <col min="8189" max="8189" width="22.6640625" style="187" bestFit="1" customWidth="1"/>
    <col min="8190" max="8190" width="33" style="187" bestFit="1" customWidth="1"/>
    <col min="8191" max="8191" width="26.5546875" style="187" bestFit="1" customWidth="1"/>
    <col min="8192" max="8192" width="22.6640625" style="187" bestFit="1" customWidth="1"/>
    <col min="8193" max="8193" width="33" style="187" bestFit="1" customWidth="1"/>
    <col min="8194" max="8194" width="26.5546875" style="187" customWidth="1"/>
    <col min="8195" max="8195" width="22.6640625" style="187" bestFit="1" customWidth="1"/>
    <col min="8196" max="8197" width="33" style="187" bestFit="1" customWidth="1"/>
    <col min="8198" max="8198" width="22.6640625" style="187" bestFit="1" customWidth="1"/>
    <col min="8199" max="8199" width="33" style="187" bestFit="1" customWidth="1"/>
    <col min="8200" max="8200" width="25.6640625" style="187" customWidth="1"/>
    <col min="8201" max="8202" width="16.6640625" style="187" customWidth="1"/>
    <col min="8203" max="8203" width="26.6640625" style="187" customWidth="1"/>
    <col min="8204" max="8443" width="9.33203125" style="187"/>
    <col min="8444" max="8444" width="71" style="187" customWidth="1"/>
    <col min="8445" max="8445" width="22.6640625" style="187" bestFit="1" customWidth="1"/>
    <col min="8446" max="8446" width="33" style="187" bestFit="1" customWidth="1"/>
    <col min="8447" max="8447" width="26.5546875" style="187" bestFit="1" customWidth="1"/>
    <col min="8448" max="8448" width="22.6640625" style="187" bestFit="1" customWidth="1"/>
    <col min="8449" max="8449" width="33" style="187" bestFit="1" customWidth="1"/>
    <col min="8450" max="8450" width="26.5546875" style="187" customWidth="1"/>
    <col min="8451" max="8451" width="22.6640625" style="187" bestFit="1" customWidth="1"/>
    <col min="8452" max="8453" width="33" style="187" bestFit="1" customWidth="1"/>
    <col min="8454" max="8454" width="22.6640625" style="187" bestFit="1" customWidth="1"/>
    <col min="8455" max="8455" width="33" style="187" bestFit="1" customWidth="1"/>
    <col min="8456" max="8456" width="25.6640625" style="187" customWidth="1"/>
    <col min="8457" max="8458" width="16.6640625" style="187" customWidth="1"/>
    <col min="8459" max="8459" width="26.6640625" style="187" customWidth="1"/>
    <col min="8460" max="8699" width="9.33203125" style="187"/>
    <col min="8700" max="8700" width="71" style="187" customWidth="1"/>
    <col min="8701" max="8701" width="22.6640625" style="187" bestFit="1" customWidth="1"/>
    <col min="8702" max="8702" width="33" style="187" bestFit="1" customWidth="1"/>
    <col min="8703" max="8703" width="26.5546875" style="187" bestFit="1" customWidth="1"/>
    <col min="8704" max="8704" width="22.6640625" style="187" bestFit="1" customWidth="1"/>
    <col min="8705" max="8705" width="33" style="187" bestFit="1" customWidth="1"/>
    <col min="8706" max="8706" width="26.5546875" style="187" customWidth="1"/>
    <col min="8707" max="8707" width="22.6640625" style="187" bestFit="1" customWidth="1"/>
    <col min="8708" max="8709" width="33" style="187" bestFit="1" customWidth="1"/>
    <col min="8710" max="8710" width="22.6640625" style="187" bestFit="1" customWidth="1"/>
    <col min="8711" max="8711" width="33" style="187" bestFit="1" customWidth="1"/>
    <col min="8712" max="8712" width="25.6640625" style="187" customWidth="1"/>
    <col min="8713" max="8714" width="16.6640625" style="187" customWidth="1"/>
    <col min="8715" max="8715" width="26.6640625" style="187" customWidth="1"/>
    <col min="8716" max="8955" width="9.33203125" style="187"/>
    <col min="8956" max="8956" width="71" style="187" customWidth="1"/>
    <col min="8957" max="8957" width="22.6640625" style="187" bestFit="1" customWidth="1"/>
    <col min="8958" max="8958" width="33" style="187" bestFit="1" customWidth="1"/>
    <col min="8959" max="8959" width="26.5546875" style="187" bestFit="1" customWidth="1"/>
    <col min="8960" max="8960" width="22.6640625" style="187" bestFit="1" customWidth="1"/>
    <col min="8961" max="8961" width="33" style="187" bestFit="1" customWidth="1"/>
    <col min="8962" max="8962" width="26.5546875" style="187" customWidth="1"/>
    <col min="8963" max="8963" width="22.6640625" style="187" bestFit="1" customWidth="1"/>
    <col min="8964" max="8965" width="33" style="187" bestFit="1" customWidth="1"/>
    <col min="8966" max="8966" width="22.6640625" style="187" bestFit="1" customWidth="1"/>
    <col min="8967" max="8967" width="33" style="187" bestFit="1" customWidth="1"/>
    <col min="8968" max="8968" width="25.6640625" style="187" customWidth="1"/>
    <col min="8969" max="8970" width="16.6640625" style="187" customWidth="1"/>
    <col min="8971" max="8971" width="26.6640625" style="187" customWidth="1"/>
    <col min="8972" max="9211" width="9.33203125" style="187"/>
    <col min="9212" max="9212" width="71" style="187" customWidth="1"/>
    <col min="9213" max="9213" width="22.6640625" style="187" bestFit="1" customWidth="1"/>
    <col min="9214" max="9214" width="33" style="187" bestFit="1" customWidth="1"/>
    <col min="9215" max="9215" width="26.5546875" style="187" bestFit="1" customWidth="1"/>
    <col min="9216" max="9216" width="22.6640625" style="187" bestFit="1" customWidth="1"/>
    <col min="9217" max="9217" width="33" style="187" bestFit="1" customWidth="1"/>
    <col min="9218" max="9218" width="26.5546875" style="187" customWidth="1"/>
    <col min="9219" max="9219" width="22.6640625" style="187" bestFit="1" customWidth="1"/>
    <col min="9220" max="9221" width="33" style="187" bestFit="1" customWidth="1"/>
    <col min="9222" max="9222" width="22.6640625" style="187" bestFit="1" customWidth="1"/>
    <col min="9223" max="9223" width="33" style="187" bestFit="1" customWidth="1"/>
    <col min="9224" max="9224" width="25.6640625" style="187" customWidth="1"/>
    <col min="9225" max="9226" width="16.6640625" style="187" customWidth="1"/>
    <col min="9227" max="9227" width="26.6640625" style="187" customWidth="1"/>
    <col min="9228" max="9467" width="9.33203125" style="187"/>
    <col min="9468" max="9468" width="71" style="187" customWidth="1"/>
    <col min="9469" max="9469" width="22.6640625" style="187" bestFit="1" customWidth="1"/>
    <col min="9470" max="9470" width="33" style="187" bestFit="1" customWidth="1"/>
    <col min="9471" max="9471" width="26.5546875" style="187" bestFit="1" customWidth="1"/>
    <col min="9472" max="9472" width="22.6640625" style="187" bestFit="1" customWidth="1"/>
    <col min="9473" max="9473" width="33" style="187" bestFit="1" customWidth="1"/>
    <col min="9474" max="9474" width="26.5546875" style="187" customWidth="1"/>
    <col min="9475" max="9475" width="22.6640625" style="187" bestFit="1" customWidth="1"/>
    <col min="9476" max="9477" width="33" style="187" bestFit="1" customWidth="1"/>
    <col min="9478" max="9478" width="22.6640625" style="187" bestFit="1" customWidth="1"/>
    <col min="9479" max="9479" width="33" style="187" bestFit="1" customWidth="1"/>
    <col min="9480" max="9480" width="25.6640625" style="187" customWidth="1"/>
    <col min="9481" max="9482" width="16.6640625" style="187" customWidth="1"/>
    <col min="9483" max="9483" width="26.6640625" style="187" customWidth="1"/>
    <col min="9484" max="9723" width="9.33203125" style="187"/>
    <col min="9724" max="9724" width="71" style="187" customWidth="1"/>
    <col min="9725" max="9725" width="22.6640625" style="187" bestFit="1" customWidth="1"/>
    <col min="9726" max="9726" width="33" style="187" bestFit="1" customWidth="1"/>
    <col min="9727" max="9727" width="26.5546875" style="187" bestFit="1" customWidth="1"/>
    <col min="9728" max="9728" width="22.6640625" style="187" bestFit="1" customWidth="1"/>
    <col min="9729" max="9729" width="33" style="187" bestFit="1" customWidth="1"/>
    <col min="9730" max="9730" width="26.5546875" style="187" customWidth="1"/>
    <col min="9731" max="9731" width="22.6640625" style="187" bestFit="1" customWidth="1"/>
    <col min="9732" max="9733" width="33" style="187" bestFit="1" customWidth="1"/>
    <col min="9734" max="9734" width="22.6640625" style="187" bestFit="1" customWidth="1"/>
    <col min="9735" max="9735" width="33" style="187" bestFit="1" customWidth="1"/>
    <col min="9736" max="9736" width="25.6640625" style="187" customWidth="1"/>
    <col min="9737" max="9738" width="16.6640625" style="187" customWidth="1"/>
    <col min="9739" max="9739" width="26.6640625" style="187" customWidth="1"/>
    <col min="9740" max="9979" width="9.33203125" style="187"/>
    <col min="9980" max="9980" width="71" style="187" customWidth="1"/>
    <col min="9981" max="9981" width="22.6640625" style="187" bestFit="1" customWidth="1"/>
    <col min="9982" max="9982" width="33" style="187" bestFit="1" customWidth="1"/>
    <col min="9983" max="9983" width="26.5546875" style="187" bestFit="1" customWidth="1"/>
    <col min="9984" max="9984" width="22.6640625" style="187" bestFit="1" customWidth="1"/>
    <col min="9985" max="9985" width="33" style="187" bestFit="1" customWidth="1"/>
    <col min="9986" max="9986" width="26.5546875" style="187" customWidth="1"/>
    <col min="9987" max="9987" width="22.6640625" style="187" bestFit="1" customWidth="1"/>
    <col min="9988" max="9989" width="33" style="187" bestFit="1" customWidth="1"/>
    <col min="9990" max="9990" width="22.6640625" style="187" bestFit="1" customWidth="1"/>
    <col min="9991" max="9991" width="33" style="187" bestFit="1" customWidth="1"/>
    <col min="9992" max="9992" width="25.6640625" style="187" customWidth="1"/>
    <col min="9993" max="9994" width="16.6640625" style="187" customWidth="1"/>
    <col min="9995" max="9995" width="26.6640625" style="187" customWidth="1"/>
    <col min="9996" max="10235" width="9.33203125" style="187"/>
    <col min="10236" max="10236" width="71" style="187" customWidth="1"/>
    <col min="10237" max="10237" width="22.6640625" style="187" bestFit="1" customWidth="1"/>
    <col min="10238" max="10238" width="33" style="187" bestFit="1" customWidth="1"/>
    <col min="10239" max="10239" width="26.5546875" style="187" bestFit="1" customWidth="1"/>
    <col min="10240" max="10240" width="22.6640625" style="187" bestFit="1" customWidth="1"/>
    <col min="10241" max="10241" width="33" style="187" bestFit="1" customWidth="1"/>
    <col min="10242" max="10242" width="26.5546875" style="187" customWidth="1"/>
    <col min="10243" max="10243" width="22.6640625" style="187" bestFit="1" customWidth="1"/>
    <col min="10244" max="10245" width="33" style="187" bestFit="1" customWidth="1"/>
    <col min="10246" max="10246" width="22.6640625" style="187" bestFit="1" customWidth="1"/>
    <col min="10247" max="10247" width="33" style="187" bestFit="1" customWidth="1"/>
    <col min="10248" max="10248" width="25.6640625" style="187" customWidth="1"/>
    <col min="10249" max="10250" width="16.6640625" style="187" customWidth="1"/>
    <col min="10251" max="10251" width="26.6640625" style="187" customWidth="1"/>
    <col min="10252" max="10491" width="9.33203125" style="187"/>
    <col min="10492" max="10492" width="71" style="187" customWidth="1"/>
    <col min="10493" max="10493" width="22.6640625" style="187" bestFit="1" customWidth="1"/>
    <col min="10494" max="10494" width="33" style="187" bestFit="1" customWidth="1"/>
    <col min="10495" max="10495" width="26.5546875" style="187" bestFit="1" customWidth="1"/>
    <col min="10496" max="10496" width="22.6640625" style="187" bestFit="1" customWidth="1"/>
    <col min="10497" max="10497" width="33" style="187" bestFit="1" customWidth="1"/>
    <col min="10498" max="10498" width="26.5546875" style="187" customWidth="1"/>
    <col min="10499" max="10499" width="22.6640625" style="187" bestFit="1" customWidth="1"/>
    <col min="10500" max="10501" width="33" style="187" bestFit="1" customWidth="1"/>
    <col min="10502" max="10502" width="22.6640625" style="187" bestFit="1" customWidth="1"/>
    <col min="10503" max="10503" width="33" style="187" bestFit="1" customWidth="1"/>
    <col min="10504" max="10504" width="25.6640625" style="187" customWidth="1"/>
    <col min="10505" max="10506" width="16.6640625" style="187" customWidth="1"/>
    <col min="10507" max="10507" width="26.6640625" style="187" customWidth="1"/>
    <col min="10508" max="10747" width="9.33203125" style="187"/>
    <col min="10748" max="10748" width="71" style="187" customWidth="1"/>
    <col min="10749" max="10749" width="22.6640625" style="187" bestFit="1" customWidth="1"/>
    <col min="10750" max="10750" width="33" style="187" bestFit="1" customWidth="1"/>
    <col min="10751" max="10751" width="26.5546875" style="187" bestFit="1" customWidth="1"/>
    <col min="10752" max="10752" width="22.6640625" style="187" bestFit="1" customWidth="1"/>
    <col min="10753" max="10753" width="33" style="187" bestFit="1" customWidth="1"/>
    <col min="10754" max="10754" width="26.5546875" style="187" customWidth="1"/>
    <col min="10755" max="10755" width="22.6640625" style="187" bestFit="1" customWidth="1"/>
    <col min="10756" max="10757" width="33" style="187" bestFit="1" customWidth="1"/>
    <col min="10758" max="10758" width="22.6640625" style="187" bestFit="1" customWidth="1"/>
    <col min="10759" max="10759" width="33" style="187" bestFit="1" customWidth="1"/>
    <col min="10760" max="10760" width="25.6640625" style="187" customWidth="1"/>
    <col min="10761" max="10762" width="16.6640625" style="187" customWidth="1"/>
    <col min="10763" max="10763" width="26.6640625" style="187" customWidth="1"/>
    <col min="10764" max="11003" width="9.33203125" style="187"/>
    <col min="11004" max="11004" width="71" style="187" customWidth="1"/>
    <col min="11005" max="11005" width="22.6640625" style="187" bestFit="1" customWidth="1"/>
    <col min="11006" max="11006" width="33" style="187" bestFit="1" customWidth="1"/>
    <col min="11007" max="11007" width="26.5546875" style="187" bestFit="1" customWidth="1"/>
    <col min="11008" max="11008" width="22.6640625" style="187" bestFit="1" customWidth="1"/>
    <col min="11009" max="11009" width="33" style="187" bestFit="1" customWidth="1"/>
    <col min="11010" max="11010" width="26.5546875" style="187" customWidth="1"/>
    <col min="11011" max="11011" width="22.6640625" style="187" bestFit="1" customWidth="1"/>
    <col min="11012" max="11013" width="33" style="187" bestFit="1" customWidth="1"/>
    <col min="11014" max="11014" width="22.6640625" style="187" bestFit="1" customWidth="1"/>
    <col min="11015" max="11015" width="33" style="187" bestFit="1" customWidth="1"/>
    <col min="11016" max="11016" width="25.6640625" style="187" customWidth="1"/>
    <col min="11017" max="11018" width="16.6640625" style="187" customWidth="1"/>
    <col min="11019" max="11019" width="26.6640625" style="187" customWidth="1"/>
    <col min="11020" max="11259" width="9.33203125" style="187"/>
    <col min="11260" max="11260" width="71" style="187" customWidth="1"/>
    <col min="11261" max="11261" width="22.6640625" style="187" bestFit="1" customWidth="1"/>
    <col min="11262" max="11262" width="33" style="187" bestFit="1" customWidth="1"/>
    <col min="11263" max="11263" width="26.5546875" style="187" bestFit="1" customWidth="1"/>
    <col min="11264" max="11264" width="22.6640625" style="187" bestFit="1" customWidth="1"/>
    <col min="11265" max="11265" width="33" style="187" bestFit="1" customWidth="1"/>
    <col min="11266" max="11266" width="26.5546875" style="187" customWidth="1"/>
    <col min="11267" max="11267" width="22.6640625" style="187" bestFit="1" customWidth="1"/>
    <col min="11268" max="11269" width="33" style="187" bestFit="1" customWidth="1"/>
    <col min="11270" max="11270" width="22.6640625" style="187" bestFit="1" customWidth="1"/>
    <col min="11271" max="11271" width="33" style="187" bestFit="1" customWidth="1"/>
    <col min="11272" max="11272" width="25.6640625" style="187" customWidth="1"/>
    <col min="11273" max="11274" width="16.6640625" style="187" customWidth="1"/>
    <col min="11275" max="11275" width="26.6640625" style="187" customWidth="1"/>
    <col min="11276" max="11515" width="9.33203125" style="187"/>
    <col min="11516" max="11516" width="71" style="187" customWidth="1"/>
    <col min="11517" max="11517" width="22.6640625" style="187" bestFit="1" customWidth="1"/>
    <col min="11518" max="11518" width="33" style="187" bestFit="1" customWidth="1"/>
    <col min="11519" max="11519" width="26.5546875" style="187" bestFit="1" customWidth="1"/>
    <col min="11520" max="11520" width="22.6640625" style="187" bestFit="1" customWidth="1"/>
    <col min="11521" max="11521" width="33" style="187" bestFit="1" customWidth="1"/>
    <col min="11522" max="11522" width="26.5546875" style="187" customWidth="1"/>
    <col min="11523" max="11523" width="22.6640625" style="187" bestFit="1" customWidth="1"/>
    <col min="11524" max="11525" width="33" style="187" bestFit="1" customWidth="1"/>
    <col min="11526" max="11526" width="22.6640625" style="187" bestFit="1" customWidth="1"/>
    <col min="11527" max="11527" width="33" style="187" bestFit="1" customWidth="1"/>
    <col min="11528" max="11528" width="25.6640625" style="187" customWidth="1"/>
    <col min="11529" max="11530" width="16.6640625" style="187" customWidth="1"/>
    <col min="11531" max="11531" width="26.6640625" style="187" customWidth="1"/>
    <col min="11532" max="11771" width="9.33203125" style="187"/>
    <col min="11772" max="11772" width="71" style="187" customWidth="1"/>
    <col min="11773" max="11773" width="22.6640625" style="187" bestFit="1" customWidth="1"/>
    <col min="11774" max="11774" width="33" style="187" bestFit="1" customWidth="1"/>
    <col min="11775" max="11775" width="26.5546875" style="187" bestFit="1" customWidth="1"/>
    <col min="11776" max="11776" width="22.6640625" style="187" bestFit="1" customWidth="1"/>
    <col min="11777" max="11777" width="33" style="187" bestFit="1" customWidth="1"/>
    <col min="11778" max="11778" width="26.5546875" style="187" customWidth="1"/>
    <col min="11779" max="11779" width="22.6640625" style="187" bestFit="1" customWidth="1"/>
    <col min="11780" max="11781" width="33" style="187" bestFit="1" customWidth="1"/>
    <col min="11782" max="11782" width="22.6640625" style="187" bestFit="1" customWidth="1"/>
    <col min="11783" max="11783" width="33" style="187" bestFit="1" customWidth="1"/>
    <col min="11784" max="11784" width="25.6640625" style="187" customWidth="1"/>
    <col min="11785" max="11786" width="16.6640625" style="187" customWidth="1"/>
    <col min="11787" max="11787" width="26.6640625" style="187" customWidth="1"/>
    <col min="11788" max="12027" width="9.33203125" style="187"/>
    <col min="12028" max="12028" width="71" style="187" customWidth="1"/>
    <col min="12029" max="12029" width="22.6640625" style="187" bestFit="1" customWidth="1"/>
    <col min="12030" max="12030" width="33" style="187" bestFit="1" customWidth="1"/>
    <col min="12031" max="12031" width="26.5546875" style="187" bestFit="1" customWidth="1"/>
    <col min="12032" max="12032" width="22.6640625" style="187" bestFit="1" customWidth="1"/>
    <col min="12033" max="12033" width="33" style="187" bestFit="1" customWidth="1"/>
    <col min="12034" max="12034" width="26.5546875" style="187" customWidth="1"/>
    <col min="12035" max="12035" width="22.6640625" style="187" bestFit="1" customWidth="1"/>
    <col min="12036" max="12037" width="33" style="187" bestFit="1" customWidth="1"/>
    <col min="12038" max="12038" width="22.6640625" style="187" bestFit="1" customWidth="1"/>
    <col min="12039" max="12039" width="33" style="187" bestFit="1" customWidth="1"/>
    <col min="12040" max="12040" width="25.6640625" style="187" customWidth="1"/>
    <col min="12041" max="12042" width="16.6640625" style="187" customWidth="1"/>
    <col min="12043" max="12043" width="26.6640625" style="187" customWidth="1"/>
    <col min="12044" max="12283" width="9.33203125" style="187"/>
    <col min="12284" max="12284" width="71" style="187" customWidth="1"/>
    <col min="12285" max="12285" width="22.6640625" style="187" bestFit="1" customWidth="1"/>
    <col min="12286" max="12286" width="33" style="187" bestFit="1" customWidth="1"/>
    <col min="12287" max="12287" width="26.5546875" style="187" bestFit="1" customWidth="1"/>
    <col min="12288" max="12288" width="22.6640625" style="187" bestFit="1" customWidth="1"/>
    <col min="12289" max="12289" width="33" style="187" bestFit="1" customWidth="1"/>
    <col min="12290" max="12290" width="26.5546875" style="187" customWidth="1"/>
    <col min="12291" max="12291" width="22.6640625" style="187" bestFit="1" customWidth="1"/>
    <col min="12292" max="12293" width="33" style="187" bestFit="1" customWidth="1"/>
    <col min="12294" max="12294" width="22.6640625" style="187" bestFit="1" customWidth="1"/>
    <col min="12295" max="12295" width="33" style="187" bestFit="1" customWidth="1"/>
    <col min="12296" max="12296" width="25.6640625" style="187" customWidth="1"/>
    <col min="12297" max="12298" width="16.6640625" style="187" customWidth="1"/>
    <col min="12299" max="12299" width="26.6640625" style="187" customWidth="1"/>
    <col min="12300" max="12539" width="9.33203125" style="187"/>
    <col min="12540" max="12540" width="71" style="187" customWidth="1"/>
    <col min="12541" max="12541" width="22.6640625" style="187" bestFit="1" customWidth="1"/>
    <col min="12542" max="12542" width="33" style="187" bestFit="1" customWidth="1"/>
    <col min="12543" max="12543" width="26.5546875" style="187" bestFit="1" customWidth="1"/>
    <col min="12544" max="12544" width="22.6640625" style="187" bestFit="1" customWidth="1"/>
    <col min="12545" max="12545" width="33" style="187" bestFit="1" customWidth="1"/>
    <col min="12546" max="12546" width="26.5546875" style="187" customWidth="1"/>
    <col min="12547" max="12547" width="22.6640625" style="187" bestFit="1" customWidth="1"/>
    <col min="12548" max="12549" width="33" style="187" bestFit="1" customWidth="1"/>
    <col min="12550" max="12550" width="22.6640625" style="187" bestFit="1" customWidth="1"/>
    <col min="12551" max="12551" width="33" style="187" bestFit="1" customWidth="1"/>
    <col min="12552" max="12552" width="25.6640625" style="187" customWidth="1"/>
    <col min="12553" max="12554" width="16.6640625" style="187" customWidth="1"/>
    <col min="12555" max="12555" width="26.6640625" style="187" customWidth="1"/>
    <col min="12556" max="12795" width="9.33203125" style="187"/>
    <col min="12796" max="12796" width="71" style="187" customWidth="1"/>
    <col min="12797" max="12797" width="22.6640625" style="187" bestFit="1" customWidth="1"/>
    <col min="12798" max="12798" width="33" style="187" bestFit="1" customWidth="1"/>
    <col min="12799" max="12799" width="26.5546875" style="187" bestFit="1" customWidth="1"/>
    <col min="12800" max="12800" width="22.6640625" style="187" bestFit="1" customWidth="1"/>
    <col min="12801" max="12801" width="33" style="187" bestFit="1" customWidth="1"/>
    <col min="12802" max="12802" width="26.5546875" style="187" customWidth="1"/>
    <col min="12803" max="12803" width="22.6640625" style="187" bestFit="1" customWidth="1"/>
    <col min="12804" max="12805" width="33" style="187" bestFit="1" customWidth="1"/>
    <col min="12806" max="12806" width="22.6640625" style="187" bestFit="1" customWidth="1"/>
    <col min="12807" max="12807" width="33" style="187" bestFit="1" customWidth="1"/>
    <col min="12808" max="12808" width="25.6640625" style="187" customWidth="1"/>
    <col min="12809" max="12810" width="16.6640625" style="187" customWidth="1"/>
    <col min="12811" max="12811" width="26.6640625" style="187" customWidth="1"/>
    <col min="12812" max="13051" width="9.33203125" style="187"/>
    <col min="13052" max="13052" width="71" style="187" customWidth="1"/>
    <col min="13053" max="13053" width="22.6640625" style="187" bestFit="1" customWidth="1"/>
    <col min="13054" max="13054" width="33" style="187" bestFit="1" customWidth="1"/>
    <col min="13055" max="13055" width="26.5546875" style="187" bestFit="1" customWidth="1"/>
    <col min="13056" max="13056" width="22.6640625" style="187" bestFit="1" customWidth="1"/>
    <col min="13057" max="13057" width="33" style="187" bestFit="1" customWidth="1"/>
    <col min="13058" max="13058" width="26.5546875" style="187" customWidth="1"/>
    <col min="13059" max="13059" width="22.6640625" style="187" bestFit="1" customWidth="1"/>
    <col min="13060" max="13061" width="33" style="187" bestFit="1" customWidth="1"/>
    <col min="13062" max="13062" width="22.6640625" style="187" bestFit="1" customWidth="1"/>
    <col min="13063" max="13063" width="33" style="187" bestFit="1" customWidth="1"/>
    <col min="13064" max="13064" width="25.6640625" style="187" customWidth="1"/>
    <col min="13065" max="13066" width="16.6640625" style="187" customWidth="1"/>
    <col min="13067" max="13067" width="26.6640625" style="187" customWidth="1"/>
    <col min="13068" max="13307" width="9.33203125" style="187"/>
    <col min="13308" max="13308" width="71" style="187" customWidth="1"/>
    <col min="13309" max="13309" width="22.6640625" style="187" bestFit="1" customWidth="1"/>
    <col min="13310" max="13310" width="33" style="187" bestFit="1" customWidth="1"/>
    <col min="13311" max="13311" width="26.5546875" style="187" bestFit="1" customWidth="1"/>
    <col min="13312" max="13312" width="22.6640625" style="187" bestFit="1" customWidth="1"/>
    <col min="13313" max="13313" width="33" style="187" bestFit="1" customWidth="1"/>
    <col min="13314" max="13314" width="26.5546875" style="187" customWidth="1"/>
    <col min="13315" max="13315" width="22.6640625" style="187" bestFit="1" customWidth="1"/>
    <col min="13316" max="13317" width="33" style="187" bestFit="1" customWidth="1"/>
    <col min="13318" max="13318" width="22.6640625" style="187" bestFit="1" customWidth="1"/>
    <col min="13319" max="13319" width="33" style="187" bestFit="1" customWidth="1"/>
    <col min="13320" max="13320" width="25.6640625" style="187" customWidth="1"/>
    <col min="13321" max="13322" width="16.6640625" style="187" customWidth="1"/>
    <col min="13323" max="13323" width="26.6640625" style="187" customWidth="1"/>
    <col min="13324" max="13563" width="9.33203125" style="187"/>
    <col min="13564" max="13564" width="71" style="187" customWidth="1"/>
    <col min="13565" max="13565" width="22.6640625" style="187" bestFit="1" customWidth="1"/>
    <col min="13566" max="13566" width="33" style="187" bestFit="1" customWidth="1"/>
    <col min="13567" max="13567" width="26.5546875" style="187" bestFit="1" customWidth="1"/>
    <col min="13568" max="13568" width="22.6640625" style="187" bestFit="1" customWidth="1"/>
    <col min="13569" max="13569" width="33" style="187" bestFit="1" customWidth="1"/>
    <col min="13570" max="13570" width="26.5546875" style="187" customWidth="1"/>
    <col min="13571" max="13571" width="22.6640625" style="187" bestFit="1" customWidth="1"/>
    <col min="13572" max="13573" width="33" style="187" bestFit="1" customWidth="1"/>
    <col min="13574" max="13574" width="22.6640625" style="187" bestFit="1" customWidth="1"/>
    <col min="13575" max="13575" width="33" style="187" bestFit="1" customWidth="1"/>
    <col min="13576" max="13576" width="25.6640625" style="187" customWidth="1"/>
    <col min="13577" max="13578" width="16.6640625" style="187" customWidth="1"/>
    <col min="13579" max="13579" width="26.6640625" style="187" customWidth="1"/>
    <col min="13580" max="13819" width="9.33203125" style="187"/>
    <col min="13820" max="13820" width="71" style="187" customWidth="1"/>
    <col min="13821" max="13821" width="22.6640625" style="187" bestFit="1" customWidth="1"/>
    <col min="13822" max="13822" width="33" style="187" bestFit="1" customWidth="1"/>
    <col min="13823" max="13823" width="26.5546875" style="187" bestFit="1" customWidth="1"/>
    <col min="13824" max="13824" width="22.6640625" style="187" bestFit="1" customWidth="1"/>
    <col min="13825" max="13825" width="33" style="187" bestFit="1" customWidth="1"/>
    <col min="13826" max="13826" width="26.5546875" style="187" customWidth="1"/>
    <col min="13827" max="13827" width="22.6640625" style="187" bestFit="1" customWidth="1"/>
    <col min="13828" max="13829" width="33" style="187" bestFit="1" customWidth="1"/>
    <col min="13830" max="13830" width="22.6640625" style="187" bestFit="1" customWidth="1"/>
    <col min="13831" max="13831" width="33" style="187" bestFit="1" customWidth="1"/>
    <col min="13832" max="13832" width="25.6640625" style="187" customWidth="1"/>
    <col min="13833" max="13834" width="16.6640625" style="187" customWidth="1"/>
    <col min="13835" max="13835" width="26.6640625" style="187" customWidth="1"/>
    <col min="13836" max="14075" width="9.33203125" style="187"/>
    <col min="14076" max="14076" width="71" style="187" customWidth="1"/>
    <col min="14077" max="14077" width="22.6640625" style="187" bestFit="1" customWidth="1"/>
    <col min="14078" max="14078" width="33" style="187" bestFit="1" customWidth="1"/>
    <col min="14079" max="14079" width="26.5546875" style="187" bestFit="1" customWidth="1"/>
    <col min="14080" max="14080" width="22.6640625" style="187" bestFit="1" customWidth="1"/>
    <col min="14081" max="14081" width="33" style="187" bestFit="1" customWidth="1"/>
    <col min="14082" max="14082" width="26.5546875" style="187" customWidth="1"/>
    <col min="14083" max="14083" width="22.6640625" style="187" bestFit="1" customWidth="1"/>
    <col min="14084" max="14085" width="33" style="187" bestFit="1" customWidth="1"/>
    <col min="14086" max="14086" width="22.6640625" style="187" bestFit="1" customWidth="1"/>
    <col min="14087" max="14087" width="33" style="187" bestFit="1" customWidth="1"/>
    <col min="14088" max="14088" width="25.6640625" style="187" customWidth="1"/>
    <col min="14089" max="14090" width="16.6640625" style="187" customWidth="1"/>
    <col min="14091" max="14091" width="26.6640625" style="187" customWidth="1"/>
    <col min="14092" max="14331" width="9.33203125" style="187"/>
    <col min="14332" max="14332" width="71" style="187" customWidth="1"/>
    <col min="14333" max="14333" width="22.6640625" style="187" bestFit="1" customWidth="1"/>
    <col min="14334" max="14334" width="33" style="187" bestFit="1" customWidth="1"/>
    <col min="14335" max="14335" width="26.5546875" style="187" bestFit="1" customWidth="1"/>
    <col min="14336" max="14336" width="22.6640625" style="187" bestFit="1" customWidth="1"/>
    <col min="14337" max="14337" width="33" style="187" bestFit="1" customWidth="1"/>
    <col min="14338" max="14338" width="26.5546875" style="187" customWidth="1"/>
    <col min="14339" max="14339" width="22.6640625" style="187" bestFit="1" customWidth="1"/>
    <col min="14340" max="14341" width="33" style="187" bestFit="1" customWidth="1"/>
    <col min="14342" max="14342" width="22.6640625" style="187" bestFit="1" customWidth="1"/>
    <col min="14343" max="14343" width="33" style="187" bestFit="1" customWidth="1"/>
    <col min="14344" max="14344" width="25.6640625" style="187" customWidth="1"/>
    <col min="14345" max="14346" width="16.6640625" style="187" customWidth="1"/>
    <col min="14347" max="14347" width="26.6640625" style="187" customWidth="1"/>
    <col min="14348" max="14587" width="9.33203125" style="187"/>
    <col min="14588" max="14588" width="71" style="187" customWidth="1"/>
    <col min="14589" max="14589" width="22.6640625" style="187" bestFit="1" customWidth="1"/>
    <col min="14590" max="14590" width="33" style="187" bestFit="1" customWidth="1"/>
    <col min="14591" max="14591" width="26.5546875" style="187" bestFit="1" customWidth="1"/>
    <col min="14592" max="14592" width="22.6640625" style="187" bestFit="1" customWidth="1"/>
    <col min="14593" max="14593" width="33" style="187" bestFit="1" customWidth="1"/>
    <col min="14594" max="14594" width="26.5546875" style="187" customWidth="1"/>
    <col min="14595" max="14595" width="22.6640625" style="187" bestFit="1" customWidth="1"/>
    <col min="14596" max="14597" width="33" style="187" bestFit="1" customWidth="1"/>
    <col min="14598" max="14598" width="22.6640625" style="187" bestFit="1" customWidth="1"/>
    <col min="14599" max="14599" width="33" style="187" bestFit="1" customWidth="1"/>
    <col min="14600" max="14600" width="25.6640625" style="187" customWidth="1"/>
    <col min="14601" max="14602" width="16.6640625" style="187" customWidth="1"/>
    <col min="14603" max="14603" width="26.6640625" style="187" customWidth="1"/>
    <col min="14604" max="14843" width="9.33203125" style="187"/>
    <col min="14844" max="14844" width="71" style="187" customWidth="1"/>
    <col min="14845" max="14845" width="22.6640625" style="187" bestFit="1" customWidth="1"/>
    <col min="14846" max="14846" width="33" style="187" bestFit="1" customWidth="1"/>
    <col min="14847" max="14847" width="26.5546875" style="187" bestFit="1" customWidth="1"/>
    <col min="14848" max="14848" width="22.6640625" style="187" bestFit="1" customWidth="1"/>
    <col min="14849" max="14849" width="33" style="187" bestFit="1" customWidth="1"/>
    <col min="14850" max="14850" width="26.5546875" style="187" customWidth="1"/>
    <col min="14851" max="14851" width="22.6640625" style="187" bestFit="1" customWidth="1"/>
    <col min="14852" max="14853" width="33" style="187" bestFit="1" customWidth="1"/>
    <col min="14854" max="14854" width="22.6640625" style="187" bestFit="1" customWidth="1"/>
    <col min="14855" max="14855" width="33" style="187" bestFit="1" customWidth="1"/>
    <col min="14856" max="14856" width="25.6640625" style="187" customWidth="1"/>
    <col min="14857" max="14858" width="16.6640625" style="187" customWidth="1"/>
    <col min="14859" max="14859" width="26.6640625" style="187" customWidth="1"/>
    <col min="14860" max="15099" width="9.33203125" style="187"/>
    <col min="15100" max="15100" width="71" style="187" customWidth="1"/>
    <col min="15101" max="15101" width="22.6640625" style="187" bestFit="1" customWidth="1"/>
    <col min="15102" max="15102" width="33" style="187" bestFit="1" customWidth="1"/>
    <col min="15103" max="15103" width="26.5546875" style="187" bestFit="1" customWidth="1"/>
    <col min="15104" max="15104" width="22.6640625" style="187" bestFit="1" customWidth="1"/>
    <col min="15105" max="15105" width="33" style="187" bestFit="1" customWidth="1"/>
    <col min="15106" max="15106" width="26.5546875" style="187" customWidth="1"/>
    <col min="15107" max="15107" width="22.6640625" style="187" bestFit="1" customWidth="1"/>
    <col min="15108" max="15109" width="33" style="187" bestFit="1" customWidth="1"/>
    <col min="15110" max="15110" width="22.6640625" style="187" bestFit="1" customWidth="1"/>
    <col min="15111" max="15111" width="33" style="187" bestFit="1" customWidth="1"/>
    <col min="15112" max="15112" width="25.6640625" style="187" customWidth="1"/>
    <col min="15113" max="15114" width="16.6640625" style="187" customWidth="1"/>
    <col min="15115" max="15115" width="26.6640625" style="187" customWidth="1"/>
    <col min="15116" max="15355" width="9.33203125" style="187"/>
    <col min="15356" max="15356" width="71" style="187" customWidth="1"/>
    <col min="15357" max="15357" width="22.6640625" style="187" bestFit="1" customWidth="1"/>
    <col min="15358" max="15358" width="33" style="187" bestFit="1" customWidth="1"/>
    <col min="15359" max="15359" width="26.5546875" style="187" bestFit="1" customWidth="1"/>
    <col min="15360" max="15360" width="22.6640625" style="187" bestFit="1" customWidth="1"/>
    <col min="15361" max="15361" width="33" style="187" bestFit="1" customWidth="1"/>
    <col min="15362" max="15362" width="26.5546875" style="187" customWidth="1"/>
    <col min="15363" max="15363" width="22.6640625" style="187" bestFit="1" customWidth="1"/>
    <col min="15364" max="15365" width="33" style="187" bestFit="1" customWidth="1"/>
    <col min="15366" max="15366" width="22.6640625" style="187" bestFit="1" customWidth="1"/>
    <col min="15367" max="15367" width="33" style="187" bestFit="1" customWidth="1"/>
    <col min="15368" max="15368" width="25.6640625" style="187" customWidth="1"/>
    <col min="15369" max="15370" width="16.6640625" style="187" customWidth="1"/>
    <col min="15371" max="15371" width="26.6640625" style="187" customWidth="1"/>
    <col min="15372" max="15611" width="9.33203125" style="187"/>
    <col min="15612" max="15612" width="71" style="187" customWidth="1"/>
    <col min="15613" max="15613" width="22.6640625" style="187" bestFit="1" customWidth="1"/>
    <col min="15614" max="15614" width="33" style="187" bestFit="1" customWidth="1"/>
    <col min="15615" max="15615" width="26.5546875" style="187" bestFit="1" customWidth="1"/>
    <col min="15616" max="15616" width="22.6640625" style="187" bestFit="1" customWidth="1"/>
    <col min="15617" max="15617" width="33" style="187" bestFit="1" customWidth="1"/>
    <col min="15618" max="15618" width="26.5546875" style="187" customWidth="1"/>
    <col min="15619" max="15619" width="22.6640625" style="187" bestFit="1" customWidth="1"/>
    <col min="15620" max="15621" width="33" style="187" bestFit="1" customWidth="1"/>
    <col min="15622" max="15622" width="22.6640625" style="187" bestFit="1" customWidth="1"/>
    <col min="15623" max="15623" width="33" style="187" bestFit="1" customWidth="1"/>
    <col min="15624" max="15624" width="25.6640625" style="187" customWidth="1"/>
    <col min="15625" max="15626" width="16.6640625" style="187" customWidth="1"/>
    <col min="15627" max="15627" width="26.6640625" style="187" customWidth="1"/>
    <col min="15628" max="15867" width="9.33203125" style="187"/>
    <col min="15868" max="15868" width="71" style="187" customWidth="1"/>
    <col min="15869" max="15869" width="22.6640625" style="187" bestFit="1" customWidth="1"/>
    <col min="15870" max="15870" width="33" style="187" bestFit="1" customWidth="1"/>
    <col min="15871" max="15871" width="26.5546875" style="187" bestFit="1" customWidth="1"/>
    <col min="15872" max="15872" width="22.6640625" style="187" bestFit="1" customWidth="1"/>
    <col min="15873" max="15873" width="33" style="187" bestFit="1" customWidth="1"/>
    <col min="15874" max="15874" width="26.5546875" style="187" customWidth="1"/>
    <col min="15875" max="15875" width="22.6640625" style="187" bestFit="1" customWidth="1"/>
    <col min="15876" max="15877" width="33" style="187" bestFit="1" customWidth="1"/>
    <col min="15878" max="15878" width="22.6640625" style="187" bestFit="1" customWidth="1"/>
    <col min="15879" max="15879" width="33" style="187" bestFit="1" customWidth="1"/>
    <col min="15880" max="15880" width="25.6640625" style="187" customWidth="1"/>
    <col min="15881" max="15882" width="16.6640625" style="187" customWidth="1"/>
    <col min="15883" max="15883" width="26.6640625" style="187" customWidth="1"/>
    <col min="15884" max="16123" width="9.33203125" style="187"/>
    <col min="16124" max="16124" width="71" style="187" customWidth="1"/>
    <col min="16125" max="16125" width="22.6640625" style="187" bestFit="1" customWidth="1"/>
    <col min="16126" max="16126" width="33" style="187" bestFit="1" customWidth="1"/>
    <col min="16127" max="16127" width="26.5546875" style="187" bestFit="1" customWidth="1"/>
    <col min="16128" max="16128" width="22.6640625" style="187" bestFit="1" customWidth="1"/>
    <col min="16129" max="16129" width="33" style="187" bestFit="1" customWidth="1"/>
    <col min="16130" max="16130" width="26.5546875" style="187" customWidth="1"/>
    <col min="16131" max="16131" width="22.6640625" style="187" bestFit="1" customWidth="1"/>
    <col min="16132" max="16133" width="33" style="187" bestFit="1" customWidth="1"/>
    <col min="16134" max="16134" width="22.6640625" style="187" bestFit="1" customWidth="1"/>
    <col min="16135" max="16135" width="33" style="187" bestFit="1" customWidth="1"/>
    <col min="16136" max="16136" width="25.6640625" style="187" customWidth="1"/>
    <col min="16137" max="16138" width="16.6640625" style="187" customWidth="1"/>
    <col min="16139" max="16139" width="26.6640625" style="187" customWidth="1"/>
    <col min="16140" max="16384" width="9.33203125" style="187"/>
  </cols>
  <sheetData>
    <row r="2" spans="2:10" x14ac:dyDescent="0.25">
      <c r="B2" s="208"/>
      <c r="C2" s="208"/>
      <c r="D2" s="208"/>
      <c r="E2" s="299" t="s">
        <v>132</v>
      </c>
      <c r="F2" s="208"/>
      <c r="H2" s="208"/>
      <c r="I2" s="208"/>
    </row>
    <row r="3" spans="2:10" x14ac:dyDescent="0.25">
      <c r="B3" s="304"/>
      <c r="C3" s="304"/>
      <c r="D3" s="304"/>
      <c r="E3" s="303" t="s">
        <v>592</v>
      </c>
      <c r="F3" s="304"/>
      <c r="H3" s="304"/>
      <c r="I3" s="304"/>
    </row>
    <row r="4" spans="2:10" x14ac:dyDescent="0.25">
      <c r="B4" s="208"/>
      <c r="C4" s="208"/>
      <c r="D4" s="208"/>
      <c r="E4" s="305" t="s">
        <v>648</v>
      </c>
      <c r="F4" s="208"/>
      <c r="H4" s="208"/>
      <c r="I4" s="208"/>
    </row>
    <row r="6" spans="2:10" x14ac:dyDescent="0.25">
      <c r="B6" s="306" t="s">
        <v>649</v>
      </c>
      <c r="C6" s="306"/>
      <c r="D6" s="306"/>
      <c r="E6" s="306"/>
      <c r="F6" s="306"/>
      <c r="G6" s="306"/>
      <c r="H6" s="306"/>
    </row>
    <row r="7" spans="2:10" x14ac:dyDescent="0.25">
      <c r="B7" s="306" t="s">
        <v>650</v>
      </c>
      <c r="C7" s="306"/>
      <c r="D7" s="306"/>
      <c r="E7" s="306"/>
      <c r="F7" s="306"/>
      <c r="G7" s="306"/>
      <c r="H7" s="306"/>
    </row>
    <row r="9" spans="2:10" ht="18" customHeight="1" x14ac:dyDescent="0.25">
      <c r="B9" s="307"/>
      <c r="C9" s="1182" t="s">
        <v>651</v>
      </c>
      <c r="D9" s="1183"/>
      <c r="E9" s="1184"/>
      <c r="F9" s="1182" t="s">
        <v>652</v>
      </c>
      <c r="G9" s="1183"/>
      <c r="H9" s="1184"/>
    </row>
    <row r="10" spans="2:10" ht="55.2" x14ac:dyDescent="0.25">
      <c r="B10" s="308"/>
      <c r="C10" s="309" t="s">
        <v>653</v>
      </c>
      <c r="D10" s="309" t="s">
        <v>654</v>
      </c>
      <c r="E10" s="309" t="s">
        <v>655</v>
      </c>
      <c r="F10" s="309" t="s">
        <v>656</v>
      </c>
      <c r="G10" s="309" t="s">
        <v>654</v>
      </c>
      <c r="H10" s="309" t="s">
        <v>655</v>
      </c>
    </row>
    <row r="11" spans="2:10" x14ac:dyDescent="0.25">
      <c r="B11" s="310" t="s">
        <v>657</v>
      </c>
      <c r="C11" s="311"/>
      <c r="D11" s="311"/>
      <c r="E11" s="311"/>
      <c r="F11" s="311"/>
      <c r="G11" s="311"/>
      <c r="H11" s="311"/>
      <c r="I11" s="312"/>
    </row>
    <row r="12" spans="2:10" x14ac:dyDescent="0.25">
      <c r="B12" s="201" t="s">
        <v>603</v>
      </c>
      <c r="C12" s="200"/>
      <c r="D12" s="203"/>
      <c r="E12" s="313"/>
      <c r="F12" s="200"/>
      <c r="G12" s="203"/>
      <c r="H12" s="203"/>
      <c r="I12" s="314"/>
    </row>
    <row r="13" spans="2:10" x14ac:dyDescent="0.25">
      <c r="B13" s="201" t="s">
        <v>603</v>
      </c>
      <c r="C13" s="200"/>
      <c r="D13" s="202"/>
      <c r="E13" s="313"/>
      <c r="F13" s="200"/>
      <c r="G13" s="202"/>
      <c r="H13" s="203"/>
      <c r="I13" s="315"/>
    </row>
    <row r="14" spans="2:10" x14ac:dyDescent="0.25">
      <c r="B14" s="316" t="s">
        <v>658</v>
      </c>
      <c r="C14" s="317"/>
      <c r="D14" s="318"/>
      <c r="E14" s="319"/>
      <c r="F14" s="317"/>
      <c r="G14" s="318"/>
      <c r="H14" s="318"/>
      <c r="I14" s="320"/>
    </row>
    <row r="15" spans="2:10" x14ac:dyDescent="0.25">
      <c r="B15" s="201" t="s">
        <v>659</v>
      </c>
      <c r="C15" s="202"/>
      <c r="D15" s="202"/>
      <c r="E15" s="203"/>
      <c r="F15" s="202"/>
      <c r="G15" s="202"/>
      <c r="H15" s="202"/>
      <c r="I15" s="321"/>
    </row>
    <row r="16" spans="2:10" x14ac:dyDescent="0.25">
      <c r="B16" s="322" t="s">
        <v>660</v>
      </c>
      <c r="C16" s="200"/>
      <c r="D16" s="202"/>
      <c r="E16" s="313"/>
      <c r="F16" s="200"/>
      <c r="G16" s="202"/>
      <c r="H16" s="202"/>
      <c r="I16" s="323"/>
      <c r="J16" s="324"/>
    </row>
    <row r="17" spans="2:11" x14ac:dyDescent="0.25">
      <c r="B17" s="325" t="s">
        <v>661</v>
      </c>
      <c r="C17" s="200"/>
      <c r="D17" s="203"/>
      <c r="E17" s="313"/>
      <c r="F17" s="200"/>
      <c r="G17" s="203"/>
      <c r="H17" s="203"/>
      <c r="I17" s="326"/>
      <c r="J17" s="324"/>
    </row>
    <row r="18" spans="2:11" x14ac:dyDescent="0.25">
      <c r="B18" s="322" t="s">
        <v>662</v>
      </c>
      <c r="C18" s="200"/>
      <c r="D18" s="203"/>
      <c r="E18" s="313"/>
      <c r="F18" s="200"/>
      <c r="G18" s="203"/>
      <c r="H18" s="203"/>
      <c r="I18" s="327"/>
      <c r="J18" s="324"/>
      <c r="K18" s="328"/>
    </row>
    <row r="19" spans="2:11" x14ac:dyDescent="0.25">
      <c r="B19" s="316" t="s">
        <v>663</v>
      </c>
      <c r="C19" s="317"/>
      <c r="D19" s="318"/>
      <c r="E19" s="319"/>
      <c r="F19" s="317"/>
      <c r="G19" s="318"/>
      <c r="H19" s="318"/>
      <c r="I19" s="329"/>
      <c r="J19" s="324"/>
      <c r="K19" s="328"/>
    </row>
    <row r="20" spans="2:11" s="306" customFormat="1" x14ac:dyDescent="0.25">
      <c r="B20" s="316" t="s">
        <v>664</v>
      </c>
      <c r="C20" s="330"/>
      <c r="D20" s="317"/>
      <c r="E20" s="317"/>
      <c r="F20" s="198"/>
      <c r="G20" s="317"/>
      <c r="H20" s="318"/>
      <c r="I20" s="331"/>
      <c r="J20" s="331"/>
    </row>
    <row r="21" spans="2:11" ht="60.75" customHeight="1" x14ac:dyDescent="0.25">
      <c r="B21" s="332" t="s">
        <v>665</v>
      </c>
      <c r="C21" s="1185"/>
      <c r="D21" s="1186"/>
      <c r="E21" s="1187"/>
      <c r="F21" s="1185"/>
      <c r="G21" s="1186"/>
      <c r="H21" s="1187"/>
      <c r="I21" s="323"/>
      <c r="J21" s="324"/>
    </row>
    <row r="22" spans="2:11" x14ac:dyDescent="0.25">
      <c r="B22" s="333"/>
      <c r="C22" s="334"/>
      <c r="D22" s="335"/>
      <c r="E22" s="336"/>
      <c r="F22" s="337"/>
      <c r="G22" s="328"/>
      <c r="H22" s="338"/>
      <c r="I22" s="324"/>
      <c r="J22" s="324"/>
    </row>
    <row r="23" spans="2:11" x14ac:dyDescent="0.25">
      <c r="B23" s="187" t="s">
        <v>666</v>
      </c>
      <c r="G23" s="328"/>
      <c r="H23" s="339"/>
      <c r="I23" s="246"/>
    </row>
    <row r="24" spans="2:11" x14ac:dyDescent="0.25">
      <c r="B24" s="169" t="s">
        <v>597</v>
      </c>
      <c r="H24" s="340"/>
    </row>
    <row r="25" spans="2:11" x14ac:dyDescent="0.25">
      <c r="C25" s="328"/>
      <c r="D25" s="328"/>
      <c r="E25" s="328"/>
      <c r="F25" s="328"/>
      <c r="G25" s="328"/>
      <c r="H25" s="328"/>
    </row>
    <row r="26" spans="2:11" x14ac:dyDescent="0.25">
      <c r="H26" s="328"/>
      <c r="J26" s="328"/>
    </row>
    <row r="27" spans="2:11" x14ac:dyDescent="0.25">
      <c r="C27" s="328"/>
      <c r="D27" s="328"/>
      <c r="F27" s="328"/>
      <c r="G27" s="328"/>
      <c r="H27" s="328"/>
    </row>
    <row r="29" spans="2:11" x14ac:dyDescent="0.25">
      <c r="E29" s="328"/>
    </row>
  </sheetData>
  <mergeCells count="4">
    <mergeCell ref="C9:E9"/>
    <mergeCell ref="F9:H9"/>
    <mergeCell ref="C21:E21"/>
    <mergeCell ref="F21:H21"/>
  </mergeCells>
  <printOptions horizontalCentered="1" verticalCentered="1"/>
  <pageMargins left="0.39370078740157483" right="0.55118110236220474" top="0.98425196850393704" bottom="0.98425196850393704" header="0.51181102362204722" footer="0.51181102362204722"/>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A4199-797F-4E8A-952D-F456055F90CC}">
  <dimension ref="B4:L18"/>
  <sheetViews>
    <sheetView showGridLines="0" workbookViewId="0">
      <selection activeCell="D24" sqref="D24"/>
    </sheetView>
  </sheetViews>
  <sheetFormatPr defaultColWidth="9" defaultRowHeight="13.2" x14ac:dyDescent="0.25"/>
  <cols>
    <col min="1" max="1" width="9" style="650"/>
    <col min="2" max="2" width="20.33203125" style="650" bestFit="1" customWidth="1"/>
    <col min="3" max="3" width="5.5546875" style="768" bestFit="1" customWidth="1"/>
    <col min="4" max="11" width="11.33203125" style="650" customWidth="1"/>
    <col min="12" max="16384" width="9" style="650"/>
  </cols>
  <sheetData>
    <row r="4" spans="2:12" x14ac:dyDescent="0.25">
      <c r="B4" s="765" t="s">
        <v>74</v>
      </c>
      <c r="C4" s="714" t="s">
        <v>777</v>
      </c>
      <c r="D4" s="765" t="s">
        <v>75</v>
      </c>
      <c r="E4" s="765" t="s">
        <v>76</v>
      </c>
      <c r="F4" s="765" t="s">
        <v>77</v>
      </c>
      <c r="G4" s="765" t="s">
        <v>87</v>
      </c>
      <c r="H4" s="765" t="s">
        <v>88</v>
      </c>
      <c r="I4" s="765" t="s">
        <v>89</v>
      </c>
      <c r="J4" s="765" t="s">
        <v>90</v>
      </c>
      <c r="K4" s="765" t="s">
        <v>91</v>
      </c>
    </row>
    <row r="5" spans="2:12" x14ac:dyDescent="0.25">
      <c r="B5" s="661" t="s">
        <v>313</v>
      </c>
      <c r="C5" s="702" t="s">
        <v>493</v>
      </c>
      <c r="D5" s="848">
        <v>0.7</v>
      </c>
      <c r="E5" s="848">
        <v>0.7</v>
      </c>
      <c r="F5" s="848">
        <v>0.7</v>
      </c>
      <c r="G5" s="848">
        <v>0.7</v>
      </c>
      <c r="H5" s="848">
        <v>0.7</v>
      </c>
      <c r="I5" s="848">
        <v>0.7</v>
      </c>
      <c r="J5" s="848">
        <v>0.7</v>
      </c>
      <c r="K5" s="848">
        <v>0.7</v>
      </c>
    </row>
    <row r="6" spans="2:12" x14ac:dyDescent="0.25">
      <c r="B6" s="661" t="s">
        <v>312</v>
      </c>
      <c r="C6" s="702" t="s">
        <v>493</v>
      </c>
      <c r="D6" s="848">
        <f>1-D5</f>
        <v>0.30000000000000004</v>
      </c>
      <c r="E6" s="848">
        <f t="shared" ref="E6:I6" si="0">1-E5</f>
        <v>0.30000000000000004</v>
      </c>
      <c r="F6" s="848">
        <f t="shared" si="0"/>
        <v>0.30000000000000004</v>
      </c>
      <c r="G6" s="848">
        <f t="shared" si="0"/>
        <v>0.30000000000000004</v>
      </c>
      <c r="H6" s="848">
        <f t="shared" si="0"/>
        <v>0.30000000000000004</v>
      </c>
      <c r="I6" s="848">
        <f t="shared" si="0"/>
        <v>0.30000000000000004</v>
      </c>
      <c r="J6" s="848">
        <f t="shared" ref="J6:K6" si="1">1-J5</f>
        <v>0.30000000000000004</v>
      </c>
      <c r="K6" s="848">
        <f t="shared" si="1"/>
        <v>0.30000000000000004</v>
      </c>
    </row>
    <row r="7" spans="2:12" x14ac:dyDescent="0.25">
      <c r="B7" s="661" t="s">
        <v>778</v>
      </c>
      <c r="C7" s="702" t="s">
        <v>493</v>
      </c>
      <c r="D7" s="849">
        <v>8.2299999999999998E-2</v>
      </c>
      <c r="E7" s="849">
        <f>+D7</f>
        <v>8.2299999999999998E-2</v>
      </c>
      <c r="F7" s="849">
        <f t="shared" ref="F7:K7" si="2">+E7</f>
        <v>8.2299999999999998E-2</v>
      </c>
      <c r="G7" s="849">
        <f t="shared" si="2"/>
        <v>8.2299999999999998E-2</v>
      </c>
      <c r="H7" s="849">
        <f t="shared" si="2"/>
        <v>8.2299999999999998E-2</v>
      </c>
      <c r="I7" s="849">
        <f t="shared" si="2"/>
        <v>8.2299999999999998E-2</v>
      </c>
      <c r="J7" s="849">
        <f t="shared" si="2"/>
        <v>8.2299999999999998E-2</v>
      </c>
      <c r="K7" s="849">
        <f t="shared" si="2"/>
        <v>8.2299999999999998E-2</v>
      </c>
    </row>
    <row r="8" spans="2:12" x14ac:dyDescent="0.25">
      <c r="B8" s="661" t="s">
        <v>779</v>
      </c>
      <c r="C8" s="702" t="s">
        <v>493</v>
      </c>
      <c r="D8" s="849">
        <f>+'Rate-W.cap'!G22</f>
        <v>9.2987671232876712E-2</v>
      </c>
      <c r="E8" s="849">
        <f>+'Rate-W.cap'!J22</f>
        <v>0.10065163934426231</v>
      </c>
      <c r="F8" s="849">
        <f>+'Rate-W.cap'!M14+1.5%</f>
        <v>0.1045</v>
      </c>
      <c r="G8" s="849">
        <f>+F8</f>
        <v>0.1045</v>
      </c>
      <c r="H8" s="849">
        <f t="shared" ref="H8" si="3">G8</f>
        <v>0.1045</v>
      </c>
      <c r="I8" s="849">
        <f t="shared" ref="I8" si="4">H8</f>
        <v>0.1045</v>
      </c>
      <c r="J8" s="849">
        <f t="shared" ref="J8:K8" si="5">I8</f>
        <v>0.1045</v>
      </c>
      <c r="K8" s="849">
        <f t="shared" si="5"/>
        <v>0.1045</v>
      </c>
    </row>
    <row r="9" spans="2:12" x14ac:dyDescent="0.25">
      <c r="B9" s="661" t="s">
        <v>780</v>
      </c>
      <c r="C9" s="702" t="s">
        <v>493</v>
      </c>
      <c r="D9" s="849">
        <v>0.14000000000000001</v>
      </c>
      <c r="E9" s="850">
        <v>0.14000000000000001</v>
      </c>
      <c r="F9" s="850">
        <v>0.14000000000000001</v>
      </c>
      <c r="G9" s="850">
        <v>0.155</v>
      </c>
      <c r="H9" s="850">
        <v>0.155</v>
      </c>
      <c r="I9" s="850">
        <v>0.155</v>
      </c>
      <c r="J9" s="850">
        <v>0.155</v>
      </c>
      <c r="K9" s="850">
        <v>0.155</v>
      </c>
    </row>
    <row r="10" spans="2:12" x14ac:dyDescent="0.25">
      <c r="B10" s="661" t="s">
        <v>781</v>
      </c>
      <c r="C10" s="702" t="s">
        <v>493</v>
      </c>
      <c r="D10" s="849">
        <f>+'F9'!E9</f>
        <v>0.17471999816504385</v>
      </c>
      <c r="E10" s="849">
        <f>+'F9'!F9</f>
        <v>0.17472000000000001</v>
      </c>
      <c r="F10" s="849">
        <f>+E10</f>
        <v>0.17472000000000001</v>
      </c>
      <c r="G10" s="849">
        <f>+'F9'!E26</f>
        <v>0.17472000000000001</v>
      </c>
      <c r="H10" s="849">
        <f>+'F9'!F26</f>
        <v>0.17472000000000001</v>
      </c>
      <c r="I10" s="849">
        <f>+'F9'!G26</f>
        <v>0.17472000000000001</v>
      </c>
      <c r="J10" s="849">
        <f>+'F9'!H26</f>
        <v>0.17472000000000001</v>
      </c>
      <c r="K10" s="849">
        <f>+'F9'!I26</f>
        <v>0.17472000000000001</v>
      </c>
      <c r="L10" s="650" t="s">
        <v>797</v>
      </c>
    </row>
    <row r="11" spans="2:12" ht="26.4" x14ac:dyDescent="0.25">
      <c r="B11" s="766" t="s">
        <v>782</v>
      </c>
      <c r="C11" s="702" t="s">
        <v>493</v>
      </c>
      <c r="D11" s="661"/>
      <c r="E11" s="661"/>
      <c r="F11" s="850">
        <v>6.7799999999999999E-2</v>
      </c>
      <c r="G11" s="850">
        <v>6.7799999999999999E-2</v>
      </c>
      <c r="H11" s="850">
        <v>6.7799999999999999E-2</v>
      </c>
      <c r="I11" s="850">
        <v>6.7799999999999999E-2</v>
      </c>
      <c r="J11" s="850">
        <v>6.7799999999999999E-2</v>
      </c>
      <c r="K11" s="850">
        <v>6.7799999999999999E-2</v>
      </c>
    </row>
    <row r="12" spans="2:12" x14ac:dyDescent="0.25">
      <c r="B12" s="767" t="s">
        <v>783</v>
      </c>
    </row>
    <row r="13" spans="2:12" x14ac:dyDescent="0.25">
      <c r="B13" s="769" t="s">
        <v>732</v>
      </c>
      <c r="C13" s="702" t="s">
        <v>493</v>
      </c>
      <c r="D13" s="924">
        <v>0</v>
      </c>
      <c r="E13" s="925"/>
      <c r="F13" s="925"/>
      <c r="G13" s="925"/>
      <c r="H13" s="925"/>
      <c r="I13" s="926"/>
    </row>
    <row r="14" spans="2:12" x14ac:dyDescent="0.25">
      <c r="B14" s="770" t="s">
        <v>265</v>
      </c>
      <c r="C14" s="702" t="s">
        <v>493</v>
      </c>
      <c r="D14" s="924">
        <v>5.28E-2</v>
      </c>
      <c r="E14" s="925">
        <v>5.28E-2</v>
      </c>
      <c r="F14" s="925">
        <v>5.28E-2</v>
      </c>
      <c r="G14" s="925">
        <v>5.28E-2</v>
      </c>
      <c r="H14" s="925">
        <v>5.28E-2</v>
      </c>
      <c r="I14" s="926">
        <v>5.28E-2</v>
      </c>
    </row>
    <row r="15" spans="2:12" x14ac:dyDescent="0.25">
      <c r="B15" s="770" t="s">
        <v>272</v>
      </c>
      <c r="C15" s="702" t="s">
        <v>493</v>
      </c>
      <c r="D15" s="924">
        <v>6.3299999999999995E-2</v>
      </c>
      <c r="E15" s="925">
        <v>6.3299999999999995E-2</v>
      </c>
      <c r="F15" s="925">
        <v>6.3299999999999995E-2</v>
      </c>
      <c r="G15" s="925">
        <v>6.3299999999999995E-2</v>
      </c>
      <c r="H15" s="925">
        <v>6.3299999999999995E-2</v>
      </c>
      <c r="I15" s="926">
        <v>6.3299999999999995E-2</v>
      </c>
    </row>
    <row r="16" spans="2:12" x14ac:dyDescent="0.25">
      <c r="B16" s="770" t="s">
        <v>769</v>
      </c>
      <c r="C16" s="702" t="s">
        <v>493</v>
      </c>
      <c r="D16" s="924">
        <v>0.15</v>
      </c>
      <c r="E16" s="925">
        <v>0.15</v>
      </c>
      <c r="F16" s="925">
        <v>0.15</v>
      </c>
      <c r="G16" s="925">
        <v>0.15</v>
      </c>
      <c r="H16" s="925">
        <v>0.15</v>
      </c>
      <c r="I16" s="926">
        <v>0.15</v>
      </c>
    </row>
    <row r="17" spans="2:9" x14ac:dyDescent="0.25">
      <c r="B17" s="770" t="s">
        <v>770</v>
      </c>
      <c r="C17" s="702" t="s">
        <v>493</v>
      </c>
      <c r="D17" s="924">
        <v>6.3299999999999995E-2</v>
      </c>
      <c r="E17" s="925">
        <v>6.3299999999999995E-2</v>
      </c>
      <c r="F17" s="925">
        <v>6.3299999999999995E-2</v>
      </c>
      <c r="G17" s="925">
        <v>6.3299999999999995E-2</v>
      </c>
      <c r="H17" s="925">
        <v>6.3299999999999995E-2</v>
      </c>
      <c r="I17" s="926">
        <v>6.3299999999999995E-2</v>
      </c>
    </row>
    <row r="18" spans="2:9" x14ac:dyDescent="0.25">
      <c r="B18" s="770" t="s">
        <v>266</v>
      </c>
      <c r="C18" s="702" t="s">
        <v>493</v>
      </c>
      <c r="D18" s="924">
        <v>3.3399999999999999E-2</v>
      </c>
      <c r="E18" s="925">
        <v>3.3399999999999999E-2</v>
      </c>
      <c r="F18" s="925">
        <v>3.3399999999999999E-2</v>
      </c>
      <c r="G18" s="925">
        <v>3.3399999999999999E-2</v>
      </c>
      <c r="H18" s="925">
        <v>3.3399999999999999E-2</v>
      </c>
      <c r="I18" s="926">
        <v>3.3399999999999999E-2</v>
      </c>
    </row>
  </sheetData>
  <protectedRanges>
    <protectedRange sqref="B13:B18" name="Protect_Sch5_1"/>
  </protectedRanges>
  <mergeCells count="6">
    <mergeCell ref="D18:I18"/>
    <mergeCell ref="D13:I13"/>
    <mergeCell ref="D14:I14"/>
    <mergeCell ref="D15:I15"/>
    <mergeCell ref="D16:I16"/>
    <mergeCell ref="D17:I17"/>
  </mergeCells>
  <pageMargins left="0.7" right="0.7" top="0.75" bottom="0.75" header="0.3" footer="0.3"/>
  <pageSetup orientation="portrait"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C38"/>
  <sheetViews>
    <sheetView showGridLines="0" view="pageBreakPreview" topLeftCell="A8" zoomScale="114" zoomScaleNormal="75" zoomScaleSheetLayoutView="67" workbookViewId="0">
      <selection activeCell="L5" sqref="L5"/>
    </sheetView>
  </sheetViews>
  <sheetFormatPr defaultColWidth="9.33203125" defaultRowHeight="13.8" x14ac:dyDescent="0.25"/>
  <cols>
    <col min="1" max="1" width="9.33203125" style="187"/>
    <col min="2" max="2" width="51" style="187" customWidth="1"/>
    <col min="3" max="3" width="124" style="187" customWidth="1"/>
    <col min="4" max="257" width="9.33203125" style="187"/>
    <col min="258" max="258" width="50.33203125" style="187" customWidth="1"/>
    <col min="259" max="259" width="90.5546875" style="187" customWidth="1"/>
    <col min="260" max="513" width="9.33203125" style="187"/>
    <col min="514" max="514" width="50.33203125" style="187" customWidth="1"/>
    <col min="515" max="515" width="90.5546875" style="187" customWidth="1"/>
    <col min="516" max="769" width="9.33203125" style="187"/>
    <col min="770" max="770" width="50.33203125" style="187" customWidth="1"/>
    <col min="771" max="771" width="90.5546875" style="187" customWidth="1"/>
    <col min="772" max="1025" width="9.33203125" style="187"/>
    <col min="1026" max="1026" width="50.33203125" style="187" customWidth="1"/>
    <col min="1027" max="1027" width="90.5546875" style="187" customWidth="1"/>
    <col min="1028" max="1281" width="9.33203125" style="187"/>
    <col min="1282" max="1282" width="50.33203125" style="187" customWidth="1"/>
    <col min="1283" max="1283" width="90.5546875" style="187" customWidth="1"/>
    <col min="1284" max="1537" width="9.33203125" style="187"/>
    <col min="1538" max="1538" width="50.33203125" style="187" customWidth="1"/>
    <col min="1539" max="1539" width="90.5546875" style="187" customWidth="1"/>
    <col min="1540" max="1793" width="9.33203125" style="187"/>
    <col min="1794" max="1794" width="50.33203125" style="187" customWidth="1"/>
    <col min="1795" max="1795" width="90.5546875" style="187" customWidth="1"/>
    <col min="1796" max="2049" width="9.33203125" style="187"/>
    <col min="2050" max="2050" width="50.33203125" style="187" customWidth="1"/>
    <col min="2051" max="2051" width="90.5546875" style="187" customWidth="1"/>
    <col min="2052" max="2305" width="9.33203125" style="187"/>
    <col min="2306" max="2306" width="50.33203125" style="187" customWidth="1"/>
    <col min="2307" max="2307" width="90.5546875" style="187" customWidth="1"/>
    <col min="2308" max="2561" width="9.33203125" style="187"/>
    <col min="2562" max="2562" width="50.33203125" style="187" customWidth="1"/>
    <col min="2563" max="2563" width="90.5546875" style="187" customWidth="1"/>
    <col min="2564" max="2817" width="9.33203125" style="187"/>
    <col min="2818" max="2818" width="50.33203125" style="187" customWidth="1"/>
    <col min="2819" max="2819" width="90.5546875" style="187" customWidth="1"/>
    <col min="2820" max="3073" width="9.33203125" style="187"/>
    <col min="3074" max="3074" width="50.33203125" style="187" customWidth="1"/>
    <col min="3075" max="3075" width="90.5546875" style="187" customWidth="1"/>
    <col min="3076" max="3329" width="9.33203125" style="187"/>
    <col min="3330" max="3330" width="50.33203125" style="187" customWidth="1"/>
    <col min="3331" max="3331" width="90.5546875" style="187" customWidth="1"/>
    <col min="3332" max="3585" width="9.33203125" style="187"/>
    <col min="3586" max="3586" width="50.33203125" style="187" customWidth="1"/>
    <col min="3587" max="3587" width="90.5546875" style="187" customWidth="1"/>
    <col min="3588" max="3841" width="9.33203125" style="187"/>
    <col min="3842" max="3842" width="50.33203125" style="187" customWidth="1"/>
    <col min="3843" max="3843" width="90.5546875" style="187" customWidth="1"/>
    <col min="3844" max="4097" width="9.33203125" style="187"/>
    <col min="4098" max="4098" width="50.33203125" style="187" customWidth="1"/>
    <col min="4099" max="4099" width="90.5546875" style="187" customWidth="1"/>
    <col min="4100" max="4353" width="9.33203125" style="187"/>
    <col min="4354" max="4354" width="50.33203125" style="187" customWidth="1"/>
    <col min="4355" max="4355" width="90.5546875" style="187" customWidth="1"/>
    <col min="4356" max="4609" width="9.33203125" style="187"/>
    <col min="4610" max="4610" width="50.33203125" style="187" customWidth="1"/>
    <col min="4611" max="4611" width="90.5546875" style="187" customWidth="1"/>
    <col min="4612" max="4865" width="9.33203125" style="187"/>
    <col min="4866" max="4866" width="50.33203125" style="187" customWidth="1"/>
    <col min="4867" max="4867" width="90.5546875" style="187" customWidth="1"/>
    <col min="4868" max="5121" width="9.33203125" style="187"/>
    <col min="5122" max="5122" width="50.33203125" style="187" customWidth="1"/>
    <col min="5123" max="5123" width="90.5546875" style="187" customWidth="1"/>
    <col min="5124" max="5377" width="9.33203125" style="187"/>
    <col min="5378" max="5378" width="50.33203125" style="187" customWidth="1"/>
    <col min="5379" max="5379" width="90.5546875" style="187" customWidth="1"/>
    <col min="5380" max="5633" width="9.33203125" style="187"/>
    <col min="5634" max="5634" width="50.33203125" style="187" customWidth="1"/>
    <col min="5635" max="5635" width="90.5546875" style="187" customWidth="1"/>
    <col min="5636" max="5889" width="9.33203125" style="187"/>
    <col min="5890" max="5890" width="50.33203125" style="187" customWidth="1"/>
    <col min="5891" max="5891" width="90.5546875" style="187" customWidth="1"/>
    <col min="5892" max="6145" width="9.33203125" style="187"/>
    <col min="6146" max="6146" width="50.33203125" style="187" customWidth="1"/>
    <col min="6147" max="6147" width="90.5546875" style="187" customWidth="1"/>
    <col min="6148" max="6401" width="9.33203125" style="187"/>
    <col min="6402" max="6402" width="50.33203125" style="187" customWidth="1"/>
    <col min="6403" max="6403" width="90.5546875" style="187" customWidth="1"/>
    <col min="6404" max="6657" width="9.33203125" style="187"/>
    <col min="6658" max="6658" width="50.33203125" style="187" customWidth="1"/>
    <col min="6659" max="6659" width="90.5546875" style="187" customWidth="1"/>
    <col min="6660" max="6913" width="9.33203125" style="187"/>
    <col min="6914" max="6914" width="50.33203125" style="187" customWidth="1"/>
    <col min="6915" max="6915" width="90.5546875" style="187" customWidth="1"/>
    <col min="6916" max="7169" width="9.33203125" style="187"/>
    <col min="7170" max="7170" width="50.33203125" style="187" customWidth="1"/>
    <col min="7171" max="7171" width="90.5546875" style="187" customWidth="1"/>
    <col min="7172" max="7425" width="9.33203125" style="187"/>
    <col min="7426" max="7426" width="50.33203125" style="187" customWidth="1"/>
    <col min="7427" max="7427" width="90.5546875" style="187" customWidth="1"/>
    <col min="7428" max="7681" width="9.33203125" style="187"/>
    <col min="7682" max="7682" width="50.33203125" style="187" customWidth="1"/>
    <col min="7683" max="7683" width="90.5546875" style="187" customWidth="1"/>
    <col min="7684" max="7937" width="9.33203125" style="187"/>
    <col min="7938" max="7938" width="50.33203125" style="187" customWidth="1"/>
    <col min="7939" max="7939" width="90.5546875" style="187" customWidth="1"/>
    <col min="7940" max="8193" width="9.33203125" style="187"/>
    <col min="8194" max="8194" width="50.33203125" style="187" customWidth="1"/>
    <col min="8195" max="8195" width="90.5546875" style="187" customWidth="1"/>
    <col min="8196" max="8449" width="9.33203125" style="187"/>
    <col min="8450" max="8450" width="50.33203125" style="187" customWidth="1"/>
    <col min="8451" max="8451" width="90.5546875" style="187" customWidth="1"/>
    <col min="8452" max="8705" width="9.33203125" style="187"/>
    <col min="8706" max="8706" width="50.33203125" style="187" customWidth="1"/>
    <col min="8707" max="8707" width="90.5546875" style="187" customWidth="1"/>
    <col min="8708" max="8961" width="9.33203125" style="187"/>
    <col min="8962" max="8962" width="50.33203125" style="187" customWidth="1"/>
    <col min="8963" max="8963" width="90.5546875" style="187" customWidth="1"/>
    <col min="8964" max="9217" width="9.33203125" style="187"/>
    <col min="9218" max="9218" width="50.33203125" style="187" customWidth="1"/>
    <col min="9219" max="9219" width="90.5546875" style="187" customWidth="1"/>
    <col min="9220" max="9473" width="9.33203125" style="187"/>
    <col min="9474" max="9474" width="50.33203125" style="187" customWidth="1"/>
    <col min="9475" max="9475" width="90.5546875" style="187" customWidth="1"/>
    <col min="9476" max="9729" width="9.33203125" style="187"/>
    <col min="9730" max="9730" width="50.33203125" style="187" customWidth="1"/>
    <col min="9731" max="9731" width="90.5546875" style="187" customWidth="1"/>
    <col min="9732" max="9985" width="9.33203125" style="187"/>
    <col min="9986" max="9986" width="50.33203125" style="187" customWidth="1"/>
    <col min="9987" max="9987" width="90.5546875" style="187" customWidth="1"/>
    <col min="9988" max="10241" width="9.33203125" style="187"/>
    <col min="10242" max="10242" width="50.33203125" style="187" customWidth="1"/>
    <col min="10243" max="10243" width="90.5546875" style="187" customWidth="1"/>
    <col min="10244" max="10497" width="9.33203125" style="187"/>
    <col min="10498" max="10498" width="50.33203125" style="187" customWidth="1"/>
    <col min="10499" max="10499" width="90.5546875" style="187" customWidth="1"/>
    <col min="10500" max="10753" width="9.33203125" style="187"/>
    <col min="10754" max="10754" width="50.33203125" style="187" customWidth="1"/>
    <col min="10755" max="10755" width="90.5546875" style="187" customWidth="1"/>
    <col min="10756" max="11009" width="9.33203125" style="187"/>
    <col min="11010" max="11010" width="50.33203125" style="187" customWidth="1"/>
    <col min="11011" max="11011" width="90.5546875" style="187" customWidth="1"/>
    <col min="11012" max="11265" width="9.33203125" style="187"/>
    <col min="11266" max="11266" width="50.33203125" style="187" customWidth="1"/>
    <col min="11267" max="11267" width="90.5546875" style="187" customWidth="1"/>
    <col min="11268" max="11521" width="9.33203125" style="187"/>
    <col min="11522" max="11522" width="50.33203125" style="187" customWidth="1"/>
    <col min="11523" max="11523" width="90.5546875" style="187" customWidth="1"/>
    <col min="11524" max="11777" width="9.33203125" style="187"/>
    <col min="11778" max="11778" width="50.33203125" style="187" customWidth="1"/>
    <col min="11779" max="11779" width="90.5546875" style="187" customWidth="1"/>
    <col min="11780" max="12033" width="9.33203125" style="187"/>
    <col min="12034" max="12034" width="50.33203125" style="187" customWidth="1"/>
    <col min="12035" max="12035" width="90.5546875" style="187" customWidth="1"/>
    <col min="12036" max="12289" width="9.33203125" style="187"/>
    <col min="12290" max="12290" width="50.33203125" style="187" customWidth="1"/>
    <col min="12291" max="12291" width="90.5546875" style="187" customWidth="1"/>
    <col min="12292" max="12545" width="9.33203125" style="187"/>
    <col min="12546" max="12546" width="50.33203125" style="187" customWidth="1"/>
    <col min="12547" max="12547" width="90.5546875" style="187" customWidth="1"/>
    <col min="12548" max="12801" width="9.33203125" style="187"/>
    <col min="12802" max="12802" width="50.33203125" style="187" customWidth="1"/>
    <col min="12803" max="12803" width="90.5546875" style="187" customWidth="1"/>
    <col min="12804" max="13057" width="9.33203125" style="187"/>
    <col min="13058" max="13058" width="50.33203125" style="187" customWidth="1"/>
    <col min="13059" max="13059" width="90.5546875" style="187" customWidth="1"/>
    <col min="13060" max="13313" width="9.33203125" style="187"/>
    <col min="13314" max="13314" width="50.33203125" style="187" customWidth="1"/>
    <col min="13315" max="13315" width="90.5546875" style="187" customWidth="1"/>
    <col min="13316" max="13569" width="9.33203125" style="187"/>
    <col min="13570" max="13570" width="50.33203125" style="187" customWidth="1"/>
    <col min="13571" max="13571" width="90.5546875" style="187" customWidth="1"/>
    <col min="13572" max="13825" width="9.33203125" style="187"/>
    <col min="13826" max="13826" width="50.33203125" style="187" customWidth="1"/>
    <col min="13827" max="13827" width="90.5546875" style="187" customWidth="1"/>
    <col min="13828" max="14081" width="9.33203125" style="187"/>
    <col min="14082" max="14082" width="50.33203125" style="187" customWidth="1"/>
    <col min="14083" max="14083" width="90.5546875" style="187" customWidth="1"/>
    <col min="14084" max="14337" width="9.33203125" style="187"/>
    <col min="14338" max="14338" width="50.33203125" style="187" customWidth="1"/>
    <col min="14339" max="14339" width="90.5546875" style="187" customWidth="1"/>
    <col min="14340" max="14593" width="9.33203125" style="187"/>
    <col min="14594" max="14594" width="50.33203125" style="187" customWidth="1"/>
    <col min="14595" max="14595" width="90.5546875" style="187" customWidth="1"/>
    <col min="14596" max="14849" width="9.33203125" style="187"/>
    <col min="14850" max="14850" width="50.33203125" style="187" customWidth="1"/>
    <col min="14851" max="14851" width="90.5546875" style="187" customWidth="1"/>
    <col min="14852" max="15105" width="9.33203125" style="187"/>
    <col min="15106" max="15106" width="50.33203125" style="187" customWidth="1"/>
    <col min="15107" max="15107" width="90.5546875" style="187" customWidth="1"/>
    <col min="15108" max="15361" width="9.33203125" style="187"/>
    <col min="15362" max="15362" width="50.33203125" style="187" customWidth="1"/>
    <col min="15363" max="15363" width="90.5546875" style="187" customWidth="1"/>
    <col min="15364" max="15617" width="9.33203125" style="187"/>
    <col min="15618" max="15618" width="50.33203125" style="187" customWidth="1"/>
    <col min="15619" max="15619" width="90.5546875" style="187" customWidth="1"/>
    <col min="15620" max="15873" width="9.33203125" style="187"/>
    <col min="15874" max="15874" width="50.33203125" style="187" customWidth="1"/>
    <col min="15875" max="15875" width="90.5546875" style="187" customWidth="1"/>
    <col min="15876" max="16129" width="9.33203125" style="187"/>
    <col min="16130" max="16130" width="50.33203125" style="187" customWidth="1"/>
    <col min="16131" max="16131" width="90.5546875" style="187" customWidth="1"/>
    <col min="16132" max="16384" width="9.33203125" style="187"/>
  </cols>
  <sheetData>
    <row r="1" spans="2:3" x14ac:dyDescent="0.25">
      <c r="C1" s="196"/>
    </row>
    <row r="2" spans="2:3" x14ac:dyDescent="0.25">
      <c r="B2" s="1013" t="s">
        <v>132</v>
      </c>
      <c r="C2" s="1013"/>
    </row>
    <row r="3" spans="2:3" ht="16.5" customHeight="1" x14ac:dyDescent="0.25">
      <c r="B3" s="1189" t="s">
        <v>592</v>
      </c>
      <c r="C3" s="1189"/>
    </row>
    <row r="4" spans="2:3" ht="13.95" customHeight="1" x14ac:dyDescent="0.25">
      <c r="B4" s="1190" t="s">
        <v>667</v>
      </c>
      <c r="C4" s="1190"/>
    </row>
    <row r="7" spans="2:3" x14ac:dyDescent="0.25">
      <c r="B7" s="197" t="s">
        <v>74</v>
      </c>
      <c r="C7" s="197" t="s">
        <v>318</v>
      </c>
    </row>
    <row r="8" spans="2:3" x14ac:dyDescent="0.25">
      <c r="B8" s="198"/>
      <c r="C8" s="198"/>
    </row>
    <row r="9" spans="2:3" x14ac:dyDescent="0.25">
      <c r="B9" s="199" t="s">
        <v>668</v>
      </c>
      <c r="C9" s="200"/>
    </row>
    <row r="10" spans="2:3" x14ac:dyDescent="0.25">
      <c r="B10" s="201" t="s">
        <v>656</v>
      </c>
      <c r="C10" s="202"/>
    </row>
    <row r="11" spans="2:3" x14ac:dyDescent="0.25">
      <c r="B11" s="201" t="s">
        <v>669</v>
      </c>
      <c r="C11" s="203"/>
    </row>
    <row r="12" spans="2:3" ht="16.8" x14ac:dyDescent="0.25">
      <c r="B12" s="204" t="s">
        <v>670</v>
      </c>
      <c r="C12" s="203"/>
    </row>
    <row r="13" spans="2:3" ht="16.8" x14ac:dyDescent="0.25">
      <c r="B13" s="201" t="s">
        <v>671</v>
      </c>
      <c r="C13" s="200"/>
    </row>
    <row r="14" spans="2:3" x14ac:dyDescent="0.25">
      <c r="B14" s="205" t="s">
        <v>672</v>
      </c>
      <c r="C14" s="206"/>
    </row>
    <row r="15" spans="2:3" ht="16.8" x14ac:dyDescent="0.25">
      <c r="B15" s="201" t="s">
        <v>673</v>
      </c>
      <c r="C15" s="202"/>
    </row>
    <row r="16" spans="2:3" ht="16.8" x14ac:dyDescent="0.25">
      <c r="B16" s="201" t="s">
        <v>674</v>
      </c>
      <c r="C16" s="202"/>
    </row>
    <row r="17" spans="2:3" ht="16.8" x14ac:dyDescent="0.25">
      <c r="B17" s="201" t="s">
        <v>675</v>
      </c>
      <c r="C17" s="202"/>
    </row>
    <row r="18" spans="2:3" x14ac:dyDescent="0.25">
      <c r="B18" s="201" t="s">
        <v>676</v>
      </c>
      <c r="C18" s="202"/>
    </row>
    <row r="19" spans="2:3" ht="16.8" x14ac:dyDescent="0.25">
      <c r="B19" s="201" t="s">
        <v>677</v>
      </c>
      <c r="C19" s="206"/>
    </row>
    <row r="20" spans="2:3" x14ac:dyDescent="0.25">
      <c r="B20" s="201" t="s">
        <v>678</v>
      </c>
      <c r="C20" s="207"/>
    </row>
    <row r="21" spans="2:3" ht="16.8" x14ac:dyDescent="0.25">
      <c r="B21" s="201" t="s">
        <v>679</v>
      </c>
      <c r="C21" s="202"/>
    </row>
    <row r="22" spans="2:3" x14ac:dyDescent="0.25">
      <c r="B22" s="201" t="s">
        <v>680</v>
      </c>
      <c r="C22" s="207"/>
    </row>
    <row r="23" spans="2:3" ht="16.8" x14ac:dyDescent="0.25">
      <c r="B23" s="201" t="s">
        <v>681</v>
      </c>
      <c r="C23" s="202"/>
    </row>
    <row r="24" spans="2:3" ht="16.8" x14ac:dyDescent="0.25">
      <c r="B24" s="201" t="s">
        <v>682</v>
      </c>
      <c r="C24" s="202"/>
    </row>
    <row r="25" spans="2:3" ht="16.8" x14ac:dyDescent="0.25">
      <c r="B25" s="201" t="s">
        <v>683</v>
      </c>
      <c r="C25" s="202"/>
    </row>
    <row r="27" spans="2:3" x14ac:dyDescent="0.25">
      <c r="B27" s="169" t="s">
        <v>597</v>
      </c>
    </row>
    <row r="28" spans="2:3" ht="16.8" x14ac:dyDescent="0.25">
      <c r="B28" s="1188" t="s">
        <v>684</v>
      </c>
      <c r="C28" s="1188"/>
    </row>
    <row r="29" spans="2:3" ht="16.8" x14ac:dyDescent="0.25">
      <c r="B29" s="1188" t="s">
        <v>685</v>
      </c>
      <c r="C29" s="1188"/>
    </row>
    <row r="30" spans="2:3" ht="16.8" x14ac:dyDescent="0.25">
      <c r="B30" s="1188" t="s">
        <v>686</v>
      </c>
      <c r="C30" s="1188"/>
    </row>
    <row r="31" spans="2:3" ht="16.8" x14ac:dyDescent="0.25">
      <c r="B31" s="1188" t="s">
        <v>687</v>
      </c>
      <c r="C31" s="1188"/>
    </row>
    <row r="32" spans="2:3" ht="16.8" x14ac:dyDescent="0.25">
      <c r="B32" s="1188" t="s">
        <v>688</v>
      </c>
      <c r="C32" s="1188"/>
    </row>
    <row r="33" spans="2:3" ht="16.8" x14ac:dyDescent="0.25">
      <c r="B33" s="1188" t="s">
        <v>689</v>
      </c>
      <c r="C33" s="1188"/>
    </row>
    <row r="34" spans="2:3" ht="16.8" x14ac:dyDescent="0.25">
      <c r="B34" s="1188" t="s">
        <v>690</v>
      </c>
      <c r="C34" s="1188"/>
    </row>
    <row r="35" spans="2:3" ht="16.8" x14ac:dyDescent="0.25">
      <c r="B35" s="1188" t="s">
        <v>691</v>
      </c>
      <c r="C35" s="1188"/>
    </row>
    <row r="36" spans="2:3" ht="16.8" x14ac:dyDescent="0.25">
      <c r="B36" s="1188" t="s">
        <v>692</v>
      </c>
      <c r="C36" s="1188"/>
    </row>
    <row r="37" spans="2:3" ht="16.8" x14ac:dyDescent="0.25">
      <c r="B37" s="1188" t="s">
        <v>693</v>
      </c>
      <c r="C37" s="1188"/>
    </row>
    <row r="38" spans="2:3" ht="16.8" x14ac:dyDescent="0.25">
      <c r="B38" s="1188" t="s">
        <v>694</v>
      </c>
      <c r="C38" s="1188"/>
    </row>
  </sheetData>
  <mergeCells count="14">
    <mergeCell ref="B37:C37"/>
    <mergeCell ref="B38:C38"/>
    <mergeCell ref="B31:C31"/>
    <mergeCell ref="B32:C32"/>
    <mergeCell ref="B33:C33"/>
    <mergeCell ref="B34:C34"/>
    <mergeCell ref="B35:C35"/>
    <mergeCell ref="B36:C36"/>
    <mergeCell ref="B30:C30"/>
    <mergeCell ref="B2:C2"/>
    <mergeCell ref="B3:C3"/>
    <mergeCell ref="B4:C4"/>
    <mergeCell ref="B28:C28"/>
    <mergeCell ref="B29:C29"/>
  </mergeCells>
  <printOptions horizontalCentered="1" verticalCentered="1"/>
  <pageMargins left="0.96" right="0.47244094488188981" top="0.98425196850393704" bottom="0.49" header="0.51181102362204722" footer="0.44"/>
  <pageSetup paperSize="9" scale="75"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B1:N21"/>
  <sheetViews>
    <sheetView showGridLines="0" view="pageBreakPreview" zoomScale="90" zoomScaleSheetLayoutView="90" workbookViewId="0">
      <selection activeCell="L5" sqref="L5"/>
    </sheetView>
  </sheetViews>
  <sheetFormatPr defaultColWidth="9.33203125" defaultRowHeight="13.8" x14ac:dyDescent="0.25"/>
  <cols>
    <col min="1" max="1" width="9.33203125" style="169"/>
    <col min="2" max="2" width="4.6640625" style="169" customWidth="1"/>
    <col min="3" max="3" width="17.44140625" style="169" customWidth="1"/>
    <col min="4" max="4" width="18.33203125" style="169" customWidth="1"/>
    <col min="5" max="5" width="20.33203125" style="229" customWidth="1"/>
    <col min="6" max="6" width="16.33203125" style="195" customWidth="1"/>
    <col min="7" max="7" width="19.6640625" style="229" customWidth="1"/>
    <col min="8" max="10" width="20" style="195" customWidth="1"/>
    <col min="11" max="11" width="20.6640625" style="229" customWidth="1"/>
    <col min="12" max="12" width="14.33203125" style="195" customWidth="1"/>
    <col min="13" max="13" width="19.6640625" style="169" customWidth="1"/>
    <col min="14" max="14" width="20.44140625" style="169" customWidth="1"/>
    <col min="15" max="259" width="9.33203125" style="169"/>
    <col min="260" max="260" width="4.6640625" style="169" customWidth="1"/>
    <col min="261" max="261" width="11.33203125" style="169" customWidth="1"/>
    <col min="262" max="262" width="23.44140625" style="169" customWidth="1"/>
    <col min="263" max="263" width="16.6640625" style="169" customWidth="1"/>
    <col min="264" max="264" width="16.33203125" style="169" customWidth="1"/>
    <col min="265" max="265" width="15.33203125" style="169" customWidth="1"/>
    <col min="266" max="266" width="20" style="169" customWidth="1"/>
    <col min="267" max="267" width="16.6640625" style="169" customWidth="1"/>
    <col min="268" max="268" width="12.33203125" style="169" customWidth="1"/>
    <col min="269" max="515" width="9.33203125" style="169"/>
    <col min="516" max="516" width="4.6640625" style="169" customWidth="1"/>
    <col min="517" max="517" width="11.33203125" style="169" customWidth="1"/>
    <col min="518" max="518" width="23.44140625" style="169" customWidth="1"/>
    <col min="519" max="519" width="16.6640625" style="169" customWidth="1"/>
    <col min="520" max="520" width="16.33203125" style="169" customWidth="1"/>
    <col min="521" max="521" width="15.33203125" style="169" customWidth="1"/>
    <col min="522" max="522" width="20" style="169" customWidth="1"/>
    <col min="523" max="523" width="16.6640625" style="169" customWidth="1"/>
    <col min="524" max="524" width="12.33203125" style="169" customWidth="1"/>
    <col min="525" max="771" width="9.33203125" style="169"/>
    <col min="772" max="772" width="4.6640625" style="169" customWidth="1"/>
    <col min="773" max="773" width="11.33203125" style="169" customWidth="1"/>
    <col min="774" max="774" width="23.44140625" style="169" customWidth="1"/>
    <col min="775" max="775" width="16.6640625" style="169" customWidth="1"/>
    <col min="776" max="776" width="16.33203125" style="169" customWidth="1"/>
    <col min="777" max="777" width="15.33203125" style="169" customWidth="1"/>
    <col min="778" max="778" width="20" style="169" customWidth="1"/>
    <col min="779" max="779" width="16.6640625" style="169" customWidth="1"/>
    <col min="780" max="780" width="12.33203125" style="169" customWidth="1"/>
    <col min="781" max="1027" width="9.33203125" style="169"/>
    <col min="1028" max="1028" width="4.6640625" style="169" customWidth="1"/>
    <col min="1029" max="1029" width="11.33203125" style="169" customWidth="1"/>
    <col min="1030" max="1030" width="23.44140625" style="169" customWidth="1"/>
    <col min="1031" max="1031" width="16.6640625" style="169" customWidth="1"/>
    <col min="1032" max="1032" width="16.33203125" style="169" customWidth="1"/>
    <col min="1033" max="1033" width="15.33203125" style="169" customWidth="1"/>
    <col min="1034" max="1034" width="20" style="169" customWidth="1"/>
    <col min="1035" max="1035" width="16.6640625" style="169" customWidth="1"/>
    <col min="1036" max="1036" width="12.33203125" style="169" customWidth="1"/>
    <col min="1037" max="1283" width="9.33203125" style="169"/>
    <col min="1284" max="1284" width="4.6640625" style="169" customWidth="1"/>
    <col min="1285" max="1285" width="11.33203125" style="169" customWidth="1"/>
    <col min="1286" max="1286" width="23.44140625" style="169" customWidth="1"/>
    <col min="1287" max="1287" width="16.6640625" style="169" customWidth="1"/>
    <col min="1288" max="1288" width="16.33203125" style="169" customWidth="1"/>
    <col min="1289" max="1289" width="15.33203125" style="169" customWidth="1"/>
    <col min="1290" max="1290" width="20" style="169" customWidth="1"/>
    <col min="1291" max="1291" width="16.6640625" style="169" customWidth="1"/>
    <col min="1292" max="1292" width="12.33203125" style="169" customWidth="1"/>
    <col min="1293" max="1539" width="9.33203125" style="169"/>
    <col min="1540" max="1540" width="4.6640625" style="169" customWidth="1"/>
    <col min="1541" max="1541" width="11.33203125" style="169" customWidth="1"/>
    <col min="1542" max="1542" width="23.44140625" style="169" customWidth="1"/>
    <col min="1543" max="1543" width="16.6640625" style="169" customWidth="1"/>
    <col min="1544" max="1544" width="16.33203125" style="169" customWidth="1"/>
    <col min="1545" max="1545" width="15.33203125" style="169" customWidth="1"/>
    <col min="1546" max="1546" width="20" style="169" customWidth="1"/>
    <col min="1547" max="1547" width="16.6640625" style="169" customWidth="1"/>
    <col min="1548" max="1548" width="12.33203125" style="169" customWidth="1"/>
    <col min="1549" max="1795" width="9.33203125" style="169"/>
    <col min="1796" max="1796" width="4.6640625" style="169" customWidth="1"/>
    <col min="1797" max="1797" width="11.33203125" style="169" customWidth="1"/>
    <col min="1798" max="1798" width="23.44140625" style="169" customWidth="1"/>
    <col min="1799" max="1799" width="16.6640625" style="169" customWidth="1"/>
    <col min="1800" max="1800" width="16.33203125" style="169" customWidth="1"/>
    <col min="1801" max="1801" width="15.33203125" style="169" customWidth="1"/>
    <col min="1802" max="1802" width="20" style="169" customWidth="1"/>
    <col min="1803" max="1803" width="16.6640625" style="169" customWidth="1"/>
    <col min="1804" max="1804" width="12.33203125" style="169" customWidth="1"/>
    <col min="1805" max="2051" width="9.33203125" style="169"/>
    <col min="2052" max="2052" width="4.6640625" style="169" customWidth="1"/>
    <col min="2053" max="2053" width="11.33203125" style="169" customWidth="1"/>
    <col min="2054" max="2054" width="23.44140625" style="169" customWidth="1"/>
    <col min="2055" max="2055" width="16.6640625" style="169" customWidth="1"/>
    <col min="2056" max="2056" width="16.33203125" style="169" customWidth="1"/>
    <col min="2057" max="2057" width="15.33203125" style="169" customWidth="1"/>
    <col min="2058" max="2058" width="20" style="169" customWidth="1"/>
    <col min="2059" max="2059" width="16.6640625" style="169" customWidth="1"/>
    <col min="2060" max="2060" width="12.33203125" style="169" customWidth="1"/>
    <col min="2061" max="2307" width="9.33203125" style="169"/>
    <col min="2308" max="2308" width="4.6640625" style="169" customWidth="1"/>
    <col min="2309" max="2309" width="11.33203125" style="169" customWidth="1"/>
    <col min="2310" max="2310" width="23.44140625" style="169" customWidth="1"/>
    <col min="2311" max="2311" width="16.6640625" style="169" customWidth="1"/>
    <col min="2312" max="2312" width="16.33203125" style="169" customWidth="1"/>
    <col min="2313" max="2313" width="15.33203125" style="169" customWidth="1"/>
    <col min="2314" max="2314" width="20" style="169" customWidth="1"/>
    <col min="2315" max="2315" width="16.6640625" style="169" customWidth="1"/>
    <col min="2316" max="2316" width="12.33203125" style="169" customWidth="1"/>
    <col min="2317" max="2563" width="9.33203125" style="169"/>
    <col min="2564" max="2564" width="4.6640625" style="169" customWidth="1"/>
    <col min="2565" max="2565" width="11.33203125" style="169" customWidth="1"/>
    <col min="2566" max="2566" width="23.44140625" style="169" customWidth="1"/>
    <col min="2567" max="2567" width="16.6640625" style="169" customWidth="1"/>
    <col min="2568" max="2568" width="16.33203125" style="169" customWidth="1"/>
    <col min="2569" max="2569" width="15.33203125" style="169" customWidth="1"/>
    <col min="2570" max="2570" width="20" style="169" customWidth="1"/>
    <col min="2571" max="2571" width="16.6640625" style="169" customWidth="1"/>
    <col min="2572" max="2572" width="12.33203125" style="169" customWidth="1"/>
    <col min="2573" max="2819" width="9.33203125" style="169"/>
    <col min="2820" max="2820" width="4.6640625" style="169" customWidth="1"/>
    <col min="2821" max="2821" width="11.33203125" style="169" customWidth="1"/>
    <col min="2822" max="2822" width="23.44140625" style="169" customWidth="1"/>
    <col min="2823" max="2823" width="16.6640625" style="169" customWidth="1"/>
    <col min="2824" max="2824" width="16.33203125" style="169" customWidth="1"/>
    <col min="2825" max="2825" width="15.33203125" style="169" customWidth="1"/>
    <col min="2826" max="2826" width="20" style="169" customWidth="1"/>
    <col min="2827" max="2827" width="16.6640625" style="169" customWidth="1"/>
    <col min="2828" max="2828" width="12.33203125" style="169" customWidth="1"/>
    <col min="2829" max="3075" width="9.33203125" style="169"/>
    <col min="3076" max="3076" width="4.6640625" style="169" customWidth="1"/>
    <col min="3077" max="3077" width="11.33203125" style="169" customWidth="1"/>
    <col min="3078" max="3078" width="23.44140625" style="169" customWidth="1"/>
    <col min="3079" max="3079" width="16.6640625" style="169" customWidth="1"/>
    <col min="3080" max="3080" width="16.33203125" style="169" customWidth="1"/>
    <col min="3081" max="3081" width="15.33203125" style="169" customWidth="1"/>
    <col min="3082" max="3082" width="20" style="169" customWidth="1"/>
    <col min="3083" max="3083" width="16.6640625" style="169" customWidth="1"/>
    <col min="3084" max="3084" width="12.33203125" style="169" customWidth="1"/>
    <col min="3085" max="3331" width="9.33203125" style="169"/>
    <col min="3332" max="3332" width="4.6640625" style="169" customWidth="1"/>
    <col min="3333" max="3333" width="11.33203125" style="169" customWidth="1"/>
    <col min="3334" max="3334" width="23.44140625" style="169" customWidth="1"/>
    <col min="3335" max="3335" width="16.6640625" style="169" customWidth="1"/>
    <col min="3336" max="3336" width="16.33203125" style="169" customWidth="1"/>
    <col min="3337" max="3337" width="15.33203125" style="169" customWidth="1"/>
    <col min="3338" max="3338" width="20" style="169" customWidth="1"/>
    <col min="3339" max="3339" width="16.6640625" style="169" customWidth="1"/>
    <col min="3340" max="3340" width="12.33203125" style="169" customWidth="1"/>
    <col min="3341" max="3587" width="9.33203125" style="169"/>
    <col min="3588" max="3588" width="4.6640625" style="169" customWidth="1"/>
    <col min="3589" max="3589" width="11.33203125" style="169" customWidth="1"/>
    <col min="3590" max="3590" width="23.44140625" style="169" customWidth="1"/>
    <col min="3591" max="3591" width="16.6640625" style="169" customWidth="1"/>
    <col min="3592" max="3592" width="16.33203125" style="169" customWidth="1"/>
    <col min="3593" max="3593" width="15.33203125" style="169" customWidth="1"/>
    <col min="3594" max="3594" width="20" style="169" customWidth="1"/>
    <col min="3595" max="3595" width="16.6640625" style="169" customWidth="1"/>
    <col min="3596" max="3596" width="12.33203125" style="169" customWidth="1"/>
    <col min="3597" max="3843" width="9.33203125" style="169"/>
    <col min="3844" max="3844" width="4.6640625" style="169" customWidth="1"/>
    <col min="3845" max="3845" width="11.33203125" style="169" customWidth="1"/>
    <col min="3846" max="3846" width="23.44140625" style="169" customWidth="1"/>
    <col min="3847" max="3847" width="16.6640625" style="169" customWidth="1"/>
    <col min="3848" max="3848" width="16.33203125" style="169" customWidth="1"/>
    <col min="3849" max="3849" width="15.33203125" style="169" customWidth="1"/>
    <col min="3850" max="3850" width="20" style="169" customWidth="1"/>
    <col min="3851" max="3851" width="16.6640625" style="169" customWidth="1"/>
    <col min="3852" max="3852" width="12.33203125" style="169" customWidth="1"/>
    <col min="3853" max="4099" width="9.33203125" style="169"/>
    <col min="4100" max="4100" width="4.6640625" style="169" customWidth="1"/>
    <col min="4101" max="4101" width="11.33203125" style="169" customWidth="1"/>
    <col min="4102" max="4102" width="23.44140625" style="169" customWidth="1"/>
    <col min="4103" max="4103" width="16.6640625" style="169" customWidth="1"/>
    <col min="4104" max="4104" width="16.33203125" style="169" customWidth="1"/>
    <col min="4105" max="4105" width="15.33203125" style="169" customWidth="1"/>
    <col min="4106" max="4106" width="20" style="169" customWidth="1"/>
    <col min="4107" max="4107" width="16.6640625" style="169" customWidth="1"/>
    <col min="4108" max="4108" width="12.33203125" style="169" customWidth="1"/>
    <col min="4109" max="4355" width="9.33203125" style="169"/>
    <col min="4356" max="4356" width="4.6640625" style="169" customWidth="1"/>
    <col min="4357" max="4357" width="11.33203125" style="169" customWidth="1"/>
    <col min="4358" max="4358" width="23.44140625" style="169" customWidth="1"/>
    <col min="4359" max="4359" width="16.6640625" style="169" customWidth="1"/>
    <col min="4360" max="4360" width="16.33203125" style="169" customWidth="1"/>
    <col min="4361" max="4361" width="15.33203125" style="169" customWidth="1"/>
    <col min="4362" max="4362" width="20" style="169" customWidth="1"/>
    <col min="4363" max="4363" width="16.6640625" style="169" customWidth="1"/>
    <col min="4364" max="4364" width="12.33203125" style="169" customWidth="1"/>
    <col min="4365" max="4611" width="9.33203125" style="169"/>
    <col min="4612" max="4612" width="4.6640625" style="169" customWidth="1"/>
    <col min="4613" max="4613" width="11.33203125" style="169" customWidth="1"/>
    <col min="4614" max="4614" width="23.44140625" style="169" customWidth="1"/>
    <col min="4615" max="4615" width="16.6640625" style="169" customWidth="1"/>
    <col min="4616" max="4616" width="16.33203125" style="169" customWidth="1"/>
    <col min="4617" max="4617" width="15.33203125" style="169" customWidth="1"/>
    <col min="4618" max="4618" width="20" style="169" customWidth="1"/>
    <col min="4619" max="4619" width="16.6640625" style="169" customWidth="1"/>
    <col min="4620" max="4620" width="12.33203125" style="169" customWidth="1"/>
    <col min="4621" max="4867" width="9.33203125" style="169"/>
    <col min="4868" max="4868" width="4.6640625" style="169" customWidth="1"/>
    <col min="4869" max="4869" width="11.33203125" style="169" customWidth="1"/>
    <col min="4870" max="4870" width="23.44140625" style="169" customWidth="1"/>
    <col min="4871" max="4871" width="16.6640625" style="169" customWidth="1"/>
    <col min="4872" max="4872" width="16.33203125" style="169" customWidth="1"/>
    <col min="4873" max="4873" width="15.33203125" style="169" customWidth="1"/>
    <col min="4874" max="4874" width="20" style="169" customWidth="1"/>
    <col min="4875" max="4875" width="16.6640625" style="169" customWidth="1"/>
    <col min="4876" max="4876" width="12.33203125" style="169" customWidth="1"/>
    <col min="4877" max="5123" width="9.33203125" style="169"/>
    <col min="5124" max="5124" width="4.6640625" style="169" customWidth="1"/>
    <col min="5125" max="5125" width="11.33203125" style="169" customWidth="1"/>
    <col min="5126" max="5126" width="23.44140625" style="169" customWidth="1"/>
    <col min="5127" max="5127" width="16.6640625" style="169" customWidth="1"/>
    <col min="5128" max="5128" width="16.33203125" style="169" customWidth="1"/>
    <col min="5129" max="5129" width="15.33203125" style="169" customWidth="1"/>
    <col min="5130" max="5130" width="20" style="169" customWidth="1"/>
    <col min="5131" max="5131" width="16.6640625" style="169" customWidth="1"/>
    <col min="5132" max="5132" width="12.33203125" style="169" customWidth="1"/>
    <col min="5133" max="5379" width="9.33203125" style="169"/>
    <col min="5380" max="5380" width="4.6640625" style="169" customWidth="1"/>
    <col min="5381" max="5381" width="11.33203125" style="169" customWidth="1"/>
    <col min="5382" max="5382" width="23.44140625" style="169" customWidth="1"/>
    <col min="5383" max="5383" width="16.6640625" style="169" customWidth="1"/>
    <col min="5384" max="5384" width="16.33203125" style="169" customWidth="1"/>
    <col min="5385" max="5385" width="15.33203125" style="169" customWidth="1"/>
    <col min="5386" max="5386" width="20" style="169" customWidth="1"/>
    <col min="5387" max="5387" width="16.6640625" style="169" customWidth="1"/>
    <col min="5388" max="5388" width="12.33203125" style="169" customWidth="1"/>
    <col min="5389" max="5635" width="9.33203125" style="169"/>
    <col min="5636" max="5636" width="4.6640625" style="169" customWidth="1"/>
    <col min="5637" max="5637" width="11.33203125" style="169" customWidth="1"/>
    <col min="5638" max="5638" width="23.44140625" style="169" customWidth="1"/>
    <col min="5639" max="5639" width="16.6640625" style="169" customWidth="1"/>
    <col min="5640" max="5640" width="16.33203125" style="169" customWidth="1"/>
    <col min="5641" max="5641" width="15.33203125" style="169" customWidth="1"/>
    <col min="5642" max="5642" width="20" style="169" customWidth="1"/>
    <col min="5643" max="5643" width="16.6640625" style="169" customWidth="1"/>
    <col min="5644" max="5644" width="12.33203125" style="169" customWidth="1"/>
    <col min="5645" max="5891" width="9.33203125" style="169"/>
    <col min="5892" max="5892" width="4.6640625" style="169" customWidth="1"/>
    <col min="5893" max="5893" width="11.33203125" style="169" customWidth="1"/>
    <col min="5894" max="5894" width="23.44140625" style="169" customWidth="1"/>
    <col min="5895" max="5895" width="16.6640625" style="169" customWidth="1"/>
    <col min="5896" max="5896" width="16.33203125" style="169" customWidth="1"/>
    <col min="5897" max="5897" width="15.33203125" style="169" customWidth="1"/>
    <col min="5898" max="5898" width="20" style="169" customWidth="1"/>
    <col min="5899" max="5899" width="16.6640625" style="169" customWidth="1"/>
    <col min="5900" max="5900" width="12.33203125" style="169" customWidth="1"/>
    <col min="5901" max="6147" width="9.33203125" style="169"/>
    <col min="6148" max="6148" width="4.6640625" style="169" customWidth="1"/>
    <col min="6149" max="6149" width="11.33203125" style="169" customWidth="1"/>
    <col min="6150" max="6150" width="23.44140625" style="169" customWidth="1"/>
    <col min="6151" max="6151" width="16.6640625" style="169" customWidth="1"/>
    <col min="6152" max="6152" width="16.33203125" style="169" customWidth="1"/>
    <col min="6153" max="6153" width="15.33203125" style="169" customWidth="1"/>
    <col min="6154" max="6154" width="20" style="169" customWidth="1"/>
    <col min="6155" max="6155" width="16.6640625" style="169" customWidth="1"/>
    <col min="6156" max="6156" width="12.33203125" style="169" customWidth="1"/>
    <col min="6157" max="6403" width="9.33203125" style="169"/>
    <col min="6404" max="6404" width="4.6640625" style="169" customWidth="1"/>
    <col min="6405" max="6405" width="11.33203125" style="169" customWidth="1"/>
    <col min="6406" max="6406" width="23.44140625" style="169" customWidth="1"/>
    <col min="6407" max="6407" width="16.6640625" style="169" customWidth="1"/>
    <col min="6408" max="6408" width="16.33203125" style="169" customWidth="1"/>
    <col min="6409" max="6409" width="15.33203125" style="169" customWidth="1"/>
    <col min="6410" max="6410" width="20" style="169" customWidth="1"/>
    <col min="6411" max="6411" width="16.6640625" style="169" customWidth="1"/>
    <col min="6412" max="6412" width="12.33203125" style="169" customWidth="1"/>
    <col min="6413" max="6659" width="9.33203125" style="169"/>
    <col min="6660" max="6660" width="4.6640625" style="169" customWidth="1"/>
    <col min="6661" max="6661" width="11.33203125" style="169" customWidth="1"/>
    <col min="6662" max="6662" width="23.44140625" style="169" customWidth="1"/>
    <col min="6663" max="6663" width="16.6640625" style="169" customWidth="1"/>
    <col min="6664" max="6664" width="16.33203125" style="169" customWidth="1"/>
    <col min="6665" max="6665" width="15.33203125" style="169" customWidth="1"/>
    <col min="6666" max="6666" width="20" style="169" customWidth="1"/>
    <col min="6667" max="6667" width="16.6640625" style="169" customWidth="1"/>
    <col min="6668" max="6668" width="12.33203125" style="169" customWidth="1"/>
    <col min="6669" max="6915" width="9.33203125" style="169"/>
    <col min="6916" max="6916" width="4.6640625" style="169" customWidth="1"/>
    <col min="6917" max="6917" width="11.33203125" style="169" customWidth="1"/>
    <col min="6918" max="6918" width="23.44140625" style="169" customWidth="1"/>
    <col min="6919" max="6919" width="16.6640625" style="169" customWidth="1"/>
    <col min="6920" max="6920" width="16.33203125" style="169" customWidth="1"/>
    <col min="6921" max="6921" width="15.33203125" style="169" customWidth="1"/>
    <col min="6922" max="6922" width="20" style="169" customWidth="1"/>
    <col min="6923" max="6923" width="16.6640625" style="169" customWidth="1"/>
    <col min="6924" max="6924" width="12.33203125" style="169" customWidth="1"/>
    <col min="6925" max="7171" width="9.33203125" style="169"/>
    <col min="7172" max="7172" width="4.6640625" style="169" customWidth="1"/>
    <col min="7173" max="7173" width="11.33203125" style="169" customWidth="1"/>
    <col min="7174" max="7174" width="23.44140625" style="169" customWidth="1"/>
    <col min="7175" max="7175" width="16.6640625" style="169" customWidth="1"/>
    <col min="7176" max="7176" width="16.33203125" style="169" customWidth="1"/>
    <col min="7177" max="7177" width="15.33203125" style="169" customWidth="1"/>
    <col min="7178" max="7178" width="20" style="169" customWidth="1"/>
    <col min="7179" max="7179" width="16.6640625" style="169" customWidth="1"/>
    <col min="7180" max="7180" width="12.33203125" style="169" customWidth="1"/>
    <col min="7181" max="7427" width="9.33203125" style="169"/>
    <col min="7428" max="7428" width="4.6640625" style="169" customWidth="1"/>
    <col min="7429" max="7429" width="11.33203125" style="169" customWidth="1"/>
    <col min="7430" max="7430" width="23.44140625" style="169" customWidth="1"/>
    <col min="7431" max="7431" width="16.6640625" style="169" customWidth="1"/>
    <col min="7432" max="7432" width="16.33203125" style="169" customWidth="1"/>
    <col min="7433" max="7433" width="15.33203125" style="169" customWidth="1"/>
    <col min="7434" max="7434" width="20" style="169" customWidth="1"/>
    <col min="7435" max="7435" width="16.6640625" style="169" customWidth="1"/>
    <col min="7436" max="7436" width="12.33203125" style="169" customWidth="1"/>
    <col min="7437" max="7683" width="9.33203125" style="169"/>
    <col min="7684" max="7684" width="4.6640625" style="169" customWidth="1"/>
    <col min="7685" max="7685" width="11.33203125" style="169" customWidth="1"/>
    <col min="7686" max="7686" width="23.44140625" style="169" customWidth="1"/>
    <col min="7687" max="7687" width="16.6640625" style="169" customWidth="1"/>
    <col min="7688" max="7688" width="16.33203125" style="169" customWidth="1"/>
    <col min="7689" max="7689" width="15.33203125" style="169" customWidth="1"/>
    <col min="7690" max="7690" width="20" style="169" customWidth="1"/>
    <col min="7691" max="7691" width="16.6640625" style="169" customWidth="1"/>
    <col min="7692" max="7692" width="12.33203125" style="169" customWidth="1"/>
    <col min="7693" max="7939" width="9.33203125" style="169"/>
    <col min="7940" max="7940" width="4.6640625" style="169" customWidth="1"/>
    <col min="7941" max="7941" width="11.33203125" style="169" customWidth="1"/>
    <col min="7942" max="7942" width="23.44140625" style="169" customWidth="1"/>
    <col min="7943" max="7943" width="16.6640625" style="169" customWidth="1"/>
    <col min="7944" max="7944" width="16.33203125" style="169" customWidth="1"/>
    <col min="7945" max="7945" width="15.33203125" style="169" customWidth="1"/>
    <col min="7946" max="7946" width="20" style="169" customWidth="1"/>
    <col min="7947" max="7947" width="16.6640625" style="169" customWidth="1"/>
    <col min="7948" max="7948" width="12.33203125" style="169" customWidth="1"/>
    <col min="7949" max="8195" width="9.33203125" style="169"/>
    <col min="8196" max="8196" width="4.6640625" style="169" customWidth="1"/>
    <col min="8197" max="8197" width="11.33203125" style="169" customWidth="1"/>
    <col min="8198" max="8198" width="23.44140625" style="169" customWidth="1"/>
    <col min="8199" max="8199" width="16.6640625" style="169" customWidth="1"/>
    <col min="8200" max="8200" width="16.33203125" style="169" customWidth="1"/>
    <col min="8201" max="8201" width="15.33203125" style="169" customWidth="1"/>
    <col min="8202" max="8202" width="20" style="169" customWidth="1"/>
    <col min="8203" max="8203" width="16.6640625" style="169" customWidth="1"/>
    <col min="8204" max="8204" width="12.33203125" style="169" customWidth="1"/>
    <col min="8205" max="8451" width="9.33203125" style="169"/>
    <col min="8452" max="8452" width="4.6640625" style="169" customWidth="1"/>
    <col min="8453" max="8453" width="11.33203125" style="169" customWidth="1"/>
    <col min="8454" max="8454" width="23.44140625" style="169" customWidth="1"/>
    <col min="8455" max="8455" width="16.6640625" style="169" customWidth="1"/>
    <col min="8456" max="8456" width="16.33203125" style="169" customWidth="1"/>
    <col min="8457" max="8457" width="15.33203125" style="169" customWidth="1"/>
    <col min="8458" max="8458" width="20" style="169" customWidth="1"/>
    <col min="8459" max="8459" width="16.6640625" style="169" customWidth="1"/>
    <col min="8460" max="8460" width="12.33203125" style="169" customWidth="1"/>
    <col min="8461" max="8707" width="9.33203125" style="169"/>
    <col min="8708" max="8708" width="4.6640625" style="169" customWidth="1"/>
    <col min="8709" max="8709" width="11.33203125" style="169" customWidth="1"/>
    <col min="8710" max="8710" width="23.44140625" style="169" customWidth="1"/>
    <col min="8711" max="8711" width="16.6640625" style="169" customWidth="1"/>
    <col min="8712" max="8712" width="16.33203125" style="169" customWidth="1"/>
    <col min="8713" max="8713" width="15.33203125" style="169" customWidth="1"/>
    <col min="8714" max="8714" width="20" style="169" customWidth="1"/>
    <col min="8715" max="8715" width="16.6640625" style="169" customWidth="1"/>
    <col min="8716" max="8716" width="12.33203125" style="169" customWidth="1"/>
    <col min="8717" max="8963" width="9.33203125" style="169"/>
    <col min="8964" max="8964" width="4.6640625" style="169" customWidth="1"/>
    <col min="8965" max="8965" width="11.33203125" style="169" customWidth="1"/>
    <col min="8966" max="8966" width="23.44140625" style="169" customWidth="1"/>
    <col min="8967" max="8967" width="16.6640625" style="169" customWidth="1"/>
    <col min="8968" max="8968" width="16.33203125" style="169" customWidth="1"/>
    <col min="8969" max="8969" width="15.33203125" style="169" customWidth="1"/>
    <col min="8970" max="8970" width="20" style="169" customWidth="1"/>
    <col min="8971" max="8971" width="16.6640625" style="169" customWidth="1"/>
    <col min="8972" max="8972" width="12.33203125" style="169" customWidth="1"/>
    <col min="8973" max="9219" width="9.33203125" style="169"/>
    <col min="9220" max="9220" width="4.6640625" style="169" customWidth="1"/>
    <col min="9221" max="9221" width="11.33203125" style="169" customWidth="1"/>
    <col min="9222" max="9222" width="23.44140625" style="169" customWidth="1"/>
    <col min="9223" max="9223" width="16.6640625" style="169" customWidth="1"/>
    <col min="9224" max="9224" width="16.33203125" style="169" customWidth="1"/>
    <col min="9225" max="9225" width="15.33203125" style="169" customWidth="1"/>
    <col min="9226" max="9226" width="20" style="169" customWidth="1"/>
    <col min="9227" max="9227" width="16.6640625" style="169" customWidth="1"/>
    <col min="9228" max="9228" width="12.33203125" style="169" customWidth="1"/>
    <col min="9229" max="9475" width="9.33203125" style="169"/>
    <col min="9476" max="9476" width="4.6640625" style="169" customWidth="1"/>
    <col min="9477" max="9477" width="11.33203125" style="169" customWidth="1"/>
    <col min="9478" max="9478" width="23.44140625" style="169" customWidth="1"/>
    <col min="9479" max="9479" width="16.6640625" style="169" customWidth="1"/>
    <col min="9480" max="9480" width="16.33203125" style="169" customWidth="1"/>
    <col min="9481" max="9481" width="15.33203125" style="169" customWidth="1"/>
    <col min="9482" max="9482" width="20" style="169" customWidth="1"/>
    <col min="9483" max="9483" width="16.6640625" style="169" customWidth="1"/>
    <col min="9484" max="9484" width="12.33203125" style="169" customWidth="1"/>
    <col min="9485" max="9731" width="9.33203125" style="169"/>
    <col min="9732" max="9732" width="4.6640625" style="169" customWidth="1"/>
    <col min="9733" max="9733" width="11.33203125" style="169" customWidth="1"/>
    <col min="9734" max="9734" width="23.44140625" style="169" customWidth="1"/>
    <col min="9735" max="9735" width="16.6640625" style="169" customWidth="1"/>
    <col min="9736" max="9736" width="16.33203125" style="169" customWidth="1"/>
    <col min="9737" max="9737" width="15.33203125" style="169" customWidth="1"/>
    <col min="9738" max="9738" width="20" style="169" customWidth="1"/>
    <col min="9739" max="9739" width="16.6640625" style="169" customWidth="1"/>
    <col min="9740" max="9740" width="12.33203125" style="169" customWidth="1"/>
    <col min="9741" max="9987" width="9.33203125" style="169"/>
    <col min="9988" max="9988" width="4.6640625" style="169" customWidth="1"/>
    <col min="9989" max="9989" width="11.33203125" style="169" customWidth="1"/>
    <col min="9990" max="9990" width="23.44140625" style="169" customWidth="1"/>
    <col min="9991" max="9991" width="16.6640625" style="169" customWidth="1"/>
    <col min="9992" max="9992" width="16.33203125" style="169" customWidth="1"/>
    <col min="9993" max="9993" width="15.33203125" style="169" customWidth="1"/>
    <col min="9994" max="9994" width="20" style="169" customWidth="1"/>
    <col min="9995" max="9995" width="16.6640625" style="169" customWidth="1"/>
    <col min="9996" max="9996" width="12.33203125" style="169" customWidth="1"/>
    <col min="9997" max="10243" width="9.33203125" style="169"/>
    <col min="10244" max="10244" width="4.6640625" style="169" customWidth="1"/>
    <col min="10245" max="10245" width="11.33203125" style="169" customWidth="1"/>
    <col min="10246" max="10246" width="23.44140625" style="169" customWidth="1"/>
    <col min="10247" max="10247" width="16.6640625" style="169" customWidth="1"/>
    <col min="10248" max="10248" width="16.33203125" style="169" customWidth="1"/>
    <col min="10249" max="10249" width="15.33203125" style="169" customWidth="1"/>
    <col min="10250" max="10250" width="20" style="169" customWidth="1"/>
    <col min="10251" max="10251" width="16.6640625" style="169" customWidth="1"/>
    <col min="10252" max="10252" width="12.33203125" style="169" customWidth="1"/>
    <col min="10253" max="10499" width="9.33203125" style="169"/>
    <col min="10500" max="10500" width="4.6640625" style="169" customWidth="1"/>
    <col min="10501" max="10501" width="11.33203125" style="169" customWidth="1"/>
    <col min="10502" max="10502" width="23.44140625" style="169" customWidth="1"/>
    <col min="10503" max="10503" width="16.6640625" style="169" customWidth="1"/>
    <col min="10504" max="10504" width="16.33203125" style="169" customWidth="1"/>
    <col min="10505" max="10505" width="15.33203125" style="169" customWidth="1"/>
    <col min="10506" max="10506" width="20" style="169" customWidth="1"/>
    <col min="10507" max="10507" width="16.6640625" style="169" customWidth="1"/>
    <col min="10508" max="10508" width="12.33203125" style="169" customWidth="1"/>
    <col min="10509" max="10755" width="9.33203125" style="169"/>
    <col min="10756" max="10756" width="4.6640625" style="169" customWidth="1"/>
    <col min="10757" max="10757" width="11.33203125" style="169" customWidth="1"/>
    <col min="10758" max="10758" width="23.44140625" style="169" customWidth="1"/>
    <col min="10759" max="10759" width="16.6640625" style="169" customWidth="1"/>
    <col min="10760" max="10760" width="16.33203125" style="169" customWidth="1"/>
    <col min="10761" max="10761" width="15.33203125" style="169" customWidth="1"/>
    <col min="10762" max="10762" width="20" style="169" customWidth="1"/>
    <col min="10763" max="10763" width="16.6640625" style="169" customWidth="1"/>
    <col min="10764" max="10764" width="12.33203125" style="169" customWidth="1"/>
    <col min="10765" max="11011" width="9.33203125" style="169"/>
    <col min="11012" max="11012" width="4.6640625" style="169" customWidth="1"/>
    <col min="11013" max="11013" width="11.33203125" style="169" customWidth="1"/>
    <col min="11014" max="11014" width="23.44140625" style="169" customWidth="1"/>
    <col min="11015" max="11015" width="16.6640625" style="169" customWidth="1"/>
    <col min="11016" max="11016" width="16.33203125" style="169" customWidth="1"/>
    <col min="11017" max="11017" width="15.33203125" style="169" customWidth="1"/>
    <col min="11018" max="11018" width="20" style="169" customWidth="1"/>
    <col min="11019" max="11019" width="16.6640625" style="169" customWidth="1"/>
    <col min="11020" max="11020" width="12.33203125" style="169" customWidth="1"/>
    <col min="11021" max="11267" width="9.33203125" style="169"/>
    <col min="11268" max="11268" width="4.6640625" style="169" customWidth="1"/>
    <col min="11269" max="11269" width="11.33203125" style="169" customWidth="1"/>
    <col min="11270" max="11270" width="23.44140625" style="169" customWidth="1"/>
    <col min="11271" max="11271" width="16.6640625" style="169" customWidth="1"/>
    <col min="11272" max="11272" width="16.33203125" style="169" customWidth="1"/>
    <col min="11273" max="11273" width="15.33203125" style="169" customWidth="1"/>
    <col min="11274" max="11274" width="20" style="169" customWidth="1"/>
    <col min="11275" max="11275" width="16.6640625" style="169" customWidth="1"/>
    <col min="11276" max="11276" width="12.33203125" style="169" customWidth="1"/>
    <col min="11277" max="11523" width="9.33203125" style="169"/>
    <col min="11524" max="11524" width="4.6640625" style="169" customWidth="1"/>
    <col min="11525" max="11525" width="11.33203125" style="169" customWidth="1"/>
    <col min="11526" max="11526" width="23.44140625" style="169" customWidth="1"/>
    <col min="11527" max="11527" width="16.6640625" style="169" customWidth="1"/>
    <col min="11528" max="11528" width="16.33203125" style="169" customWidth="1"/>
    <col min="11529" max="11529" width="15.33203125" style="169" customWidth="1"/>
    <col min="11530" max="11530" width="20" style="169" customWidth="1"/>
    <col min="11531" max="11531" width="16.6640625" style="169" customWidth="1"/>
    <col min="11532" max="11532" width="12.33203125" style="169" customWidth="1"/>
    <col min="11533" max="11779" width="9.33203125" style="169"/>
    <col min="11780" max="11780" width="4.6640625" style="169" customWidth="1"/>
    <col min="11781" max="11781" width="11.33203125" style="169" customWidth="1"/>
    <col min="11782" max="11782" width="23.44140625" style="169" customWidth="1"/>
    <col min="11783" max="11783" width="16.6640625" style="169" customWidth="1"/>
    <col min="11784" max="11784" width="16.33203125" style="169" customWidth="1"/>
    <col min="11785" max="11785" width="15.33203125" style="169" customWidth="1"/>
    <col min="11786" max="11786" width="20" style="169" customWidth="1"/>
    <col min="11787" max="11787" width="16.6640625" style="169" customWidth="1"/>
    <col min="11788" max="11788" width="12.33203125" style="169" customWidth="1"/>
    <col min="11789" max="12035" width="9.33203125" style="169"/>
    <col min="12036" max="12036" width="4.6640625" style="169" customWidth="1"/>
    <col min="12037" max="12037" width="11.33203125" style="169" customWidth="1"/>
    <col min="12038" max="12038" width="23.44140625" style="169" customWidth="1"/>
    <col min="12039" max="12039" width="16.6640625" style="169" customWidth="1"/>
    <col min="12040" max="12040" width="16.33203125" style="169" customWidth="1"/>
    <col min="12041" max="12041" width="15.33203125" style="169" customWidth="1"/>
    <col min="12042" max="12042" width="20" style="169" customWidth="1"/>
    <col min="12043" max="12043" width="16.6640625" style="169" customWidth="1"/>
    <col min="12044" max="12044" width="12.33203125" style="169" customWidth="1"/>
    <col min="12045" max="12291" width="9.33203125" style="169"/>
    <col min="12292" max="12292" width="4.6640625" style="169" customWidth="1"/>
    <col min="12293" max="12293" width="11.33203125" style="169" customWidth="1"/>
    <col min="12294" max="12294" width="23.44140625" style="169" customWidth="1"/>
    <col min="12295" max="12295" width="16.6640625" style="169" customWidth="1"/>
    <col min="12296" max="12296" width="16.33203125" style="169" customWidth="1"/>
    <col min="12297" max="12297" width="15.33203125" style="169" customWidth="1"/>
    <col min="12298" max="12298" width="20" style="169" customWidth="1"/>
    <col min="12299" max="12299" width="16.6640625" style="169" customWidth="1"/>
    <col min="12300" max="12300" width="12.33203125" style="169" customWidth="1"/>
    <col min="12301" max="12547" width="9.33203125" style="169"/>
    <col min="12548" max="12548" width="4.6640625" style="169" customWidth="1"/>
    <col min="12549" max="12549" width="11.33203125" style="169" customWidth="1"/>
    <col min="12550" max="12550" width="23.44140625" style="169" customWidth="1"/>
    <col min="12551" max="12551" width="16.6640625" style="169" customWidth="1"/>
    <col min="12552" max="12552" width="16.33203125" style="169" customWidth="1"/>
    <col min="12553" max="12553" width="15.33203125" style="169" customWidth="1"/>
    <col min="12554" max="12554" width="20" style="169" customWidth="1"/>
    <col min="12555" max="12555" width="16.6640625" style="169" customWidth="1"/>
    <col min="12556" max="12556" width="12.33203125" style="169" customWidth="1"/>
    <col min="12557" max="12803" width="9.33203125" style="169"/>
    <col min="12804" max="12804" width="4.6640625" style="169" customWidth="1"/>
    <col min="12805" max="12805" width="11.33203125" style="169" customWidth="1"/>
    <col min="12806" max="12806" width="23.44140625" style="169" customWidth="1"/>
    <col min="12807" max="12807" width="16.6640625" style="169" customWidth="1"/>
    <col min="12808" max="12808" width="16.33203125" style="169" customWidth="1"/>
    <col min="12809" max="12809" width="15.33203125" style="169" customWidth="1"/>
    <col min="12810" max="12810" width="20" style="169" customWidth="1"/>
    <col min="12811" max="12811" width="16.6640625" style="169" customWidth="1"/>
    <col min="12812" max="12812" width="12.33203125" style="169" customWidth="1"/>
    <col min="12813" max="13059" width="9.33203125" style="169"/>
    <col min="13060" max="13060" width="4.6640625" style="169" customWidth="1"/>
    <col min="13061" max="13061" width="11.33203125" style="169" customWidth="1"/>
    <col min="13062" max="13062" width="23.44140625" style="169" customWidth="1"/>
    <col min="13063" max="13063" width="16.6640625" style="169" customWidth="1"/>
    <col min="13064" max="13064" width="16.33203125" style="169" customWidth="1"/>
    <col min="13065" max="13065" width="15.33203125" style="169" customWidth="1"/>
    <col min="13066" max="13066" width="20" style="169" customWidth="1"/>
    <col min="13067" max="13067" width="16.6640625" style="169" customWidth="1"/>
    <col min="13068" max="13068" width="12.33203125" style="169" customWidth="1"/>
    <col min="13069" max="13315" width="9.33203125" style="169"/>
    <col min="13316" max="13316" width="4.6640625" style="169" customWidth="1"/>
    <col min="13317" max="13317" width="11.33203125" style="169" customWidth="1"/>
    <col min="13318" max="13318" width="23.44140625" style="169" customWidth="1"/>
    <col min="13319" max="13319" width="16.6640625" style="169" customWidth="1"/>
    <col min="13320" max="13320" width="16.33203125" style="169" customWidth="1"/>
    <col min="13321" max="13321" width="15.33203125" style="169" customWidth="1"/>
    <col min="13322" max="13322" width="20" style="169" customWidth="1"/>
    <col min="13323" max="13323" width="16.6640625" style="169" customWidth="1"/>
    <col min="13324" max="13324" width="12.33203125" style="169" customWidth="1"/>
    <col min="13325" max="13571" width="9.33203125" style="169"/>
    <col min="13572" max="13572" width="4.6640625" style="169" customWidth="1"/>
    <col min="13573" max="13573" width="11.33203125" style="169" customWidth="1"/>
    <col min="13574" max="13574" width="23.44140625" style="169" customWidth="1"/>
    <col min="13575" max="13575" width="16.6640625" style="169" customWidth="1"/>
    <col min="13576" max="13576" width="16.33203125" style="169" customWidth="1"/>
    <col min="13577" max="13577" width="15.33203125" style="169" customWidth="1"/>
    <col min="13578" max="13578" width="20" style="169" customWidth="1"/>
    <col min="13579" max="13579" width="16.6640625" style="169" customWidth="1"/>
    <col min="13580" max="13580" width="12.33203125" style="169" customWidth="1"/>
    <col min="13581" max="13827" width="9.33203125" style="169"/>
    <col min="13828" max="13828" width="4.6640625" style="169" customWidth="1"/>
    <col min="13829" max="13829" width="11.33203125" style="169" customWidth="1"/>
    <col min="13830" max="13830" width="23.44140625" style="169" customWidth="1"/>
    <col min="13831" max="13831" width="16.6640625" style="169" customWidth="1"/>
    <col min="13832" max="13832" width="16.33203125" style="169" customWidth="1"/>
    <col min="13833" max="13833" width="15.33203125" style="169" customWidth="1"/>
    <col min="13834" max="13834" width="20" style="169" customWidth="1"/>
    <col min="13835" max="13835" width="16.6640625" style="169" customWidth="1"/>
    <col min="13836" max="13836" width="12.33203125" style="169" customWidth="1"/>
    <col min="13837" max="14083" width="9.33203125" style="169"/>
    <col min="14084" max="14084" width="4.6640625" style="169" customWidth="1"/>
    <col min="14085" max="14085" width="11.33203125" style="169" customWidth="1"/>
    <col min="14086" max="14086" width="23.44140625" style="169" customWidth="1"/>
    <col min="14087" max="14087" width="16.6640625" style="169" customWidth="1"/>
    <col min="14088" max="14088" width="16.33203125" style="169" customWidth="1"/>
    <col min="14089" max="14089" width="15.33203125" style="169" customWidth="1"/>
    <col min="14090" max="14090" width="20" style="169" customWidth="1"/>
    <col min="14091" max="14091" width="16.6640625" style="169" customWidth="1"/>
    <col min="14092" max="14092" width="12.33203125" style="169" customWidth="1"/>
    <col min="14093" max="14339" width="9.33203125" style="169"/>
    <col min="14340" max="14340" width="4.6640625" style="169" customWidth="1"/>
    <col min="14341" max="14341" width="11.33203125" style="169" customWidth="1"/>
    <col min="14342" max="14342" width="23.44140625" style="169" customWidth="1"/>
    <col min="14343" max="14343" width="16.6640625" style="169" customWidth="1"/>
    <col min="14344" max="14344" width="16.33203125" style="169" customWidth="1"/>
    <col min="14345" max="14345" width="15.33203125" style="169" customWidth="1"/>
    <col min="14346" max="14346" width="20" style="169" customWidth="1"/>
    <col min="14347" max="14347" width="16.6640625" style="169" customWidth="1"/>
    <col min="14348" max="14348" width="12.33203125" style="169" customWidth="1"/>
    <col min="14349" max="14595" width="9.33203125" style="169"/>
    <col min="14596" max="14596" width="4.6640625" style="169" customWidth="1"/>
    <col min="14597" max="14597" width="11.33203125" style="169" customWidth="1"/>
    <col min="14598" max="14598" width="23.44140625" style="169" customWidth="1"/>
    <col min="14599" max="14599" width="16.6640625" style="169" customWidth="1"/>
    <col min="14600" max="14600" width="16.33203125" style="169" customWidth="1"/>
    <col min="14601" max="14601" width="15.33203125" style="169" customWidth="1"/>
    <col min="14602" max="14602" width="20" style="169" customWidth="1"/>
    <col min="14603" max="14603" width="16.6640625" style="169" customWidth="1"/>
    <col min="14604" max="14604" width="12.33203125" style="169" customWidth="1"/>
    <col min="14605" max="14851" width="9.33203125" style="169"/>
    <col min="14852" max="14852" width="4.6640625" style="169" customWidth="1"/>
    <col min="14853" max="14853" width="11.33203125" style="169" customWidth="1"/>
    <col min="14854" max="14854" width="23.44140625" style="169" customWidth="1"/>
    <col min="14855" max="14855" width="16.6640625" style="169" customWidth="1"/>
    <col min="14856" max="14856" width="16.33203125" style="169" customWidth="1"/>
    <col min="14857" max="14857" width="15.33203125" style="169" customWidth="1"/>
    <col min="14858" max="14858" width="20" style="169" customWidth="1"/>
    <col min="14859" max="14859" width="16.6640625" style="169" customWidth="1"/>
    <col min="14860" max="14860" width="12.33203125" style="169" customWidth="1"/>
    <col min="14861" max="15107" width="9.33203125" style="169"/>
    <col min="15108" max="15108" width="4.6640625" style="169" customWidth="1"/>
    <col min="15109" max="15109" width="11.33203125" style="169" customWidth="1"/>
    <col min="15110" max="15110" width="23.44140625" style="169" customWidth="1"/>
    <col min="15111" max="15111" width="16.6640625" style="169" customWidth="1"/>
    <col min="15112" max="15112" width="16.33203125" style="169" customWidth="1"/>
    <col min="15113" max="15113" width="15.33203125" style="169" customWidth="1"/>
    <col min="15114" max="15114" width="20" style="169" customWidth="1"/>
    <col min="15115" max="15115" width="16.6640625" style="169" customWidth="1"/>
    <col min="15116" max="15116" width="12.33203125" style="169" customWidth="1"/>
    <col min="15117" max="15363" width="9.33203125" style="169"/>
    <col min="15364" max="15364" width="4.6640625" style="169" customWidth="1"/>
    <col min="15365" max="15365" width="11.33203125" style="169" customWidth="1"/>
    <col min="15366" max="15366" width="23.44140625" style="169" customWidth="1"/>
    <col min="15367" max="15367" width="16.6640625" style="169" customWidth="1"/>
    <col min="15368" max="15368" width="16.33203125" style="169" customWidth="1"/>
    <col min="15369" max="15369" width="15.33203125" style="169" customWidth="1"/>
    <col min="15370" max="15370" width="20" style="169" customWidth="1"/>
    <col min="15371" max="15371" width="16.6640625" style="169" customWidth="1"/>
    <col min="15372" max="15372" width="12.33203125" style="169" customWidth="1"/>
    <col min="15373" max="15619" width="9.33203125" style="169"/>
    <col min="15620" max="15620" width="4.6640625" style="169" customWidth="1"/>
    <col min="15621" max="15621" width="11.33203125" style="169" customWidth="1"/>
    <col min="15622" max="15622" width="23.44140625" style="169" customWidth="1"/>
    <col min="15623" max="15623" width="16.6640625" style="169" customWidth="1"/>
    <col min="15624" max="15624" width="16.33203125" style="169" customWidth="1"/>
    <col min="15625" max="15625" width="15.33203125" style="169" customWidth="1"/>
    <col min="15626" max="15626" width="20" style="169" customWidth="1"/>
    <col min="15627" max="15627" width="16.6640625" style="169" customWidth="1"/>
    <col min="15628" max="15628" width="12.33203125" style="169" customWidth="1"/>
    <col min="15629" max="15875" width="9.33203125" style="169"/>
    <col min="15876" max="15876" width="4.6640625" style="169" customWidth="1"/>
    <col min="15877" max="15877" width="11.33203125" style="169" customWidth="1"/>
    <col min="15878" max="15878" width="23.44140625" style="169" customWidth="1"/>
    <col min="15879" max="15879" width="16.6640625" style="169" customWidth="1"/>
    <col min="15880" max="15880" width="16.33203125" style="169" customWidth="1"/>
    <col min="15881" max="15881" width="15.33203125" style="169" customWidth="1"/>
    <col min="15882" max="15882" width="20" style="169" customWidth="1"/>
    <col min="15883" max="15883" width="16.6640625" style="169" customWidth="1"/>
    <col min="15884" max="15884" width="12.33203125" style="169" customWidth="1"/>
    <col min="15885" max="16131" width="9.33203125" style="169"/>
    <col min="16132" max="16132" width="4.6640625" style="169" customWidth="1"/>
    <col min="16133" max="16133" width="11.33203125" style="169" customWidth="1"/>
    <col min="16134" max="16134" width="23.44140625" style="169" customWidth="1"/>
    <col min="16135" max="16135" width="16.6640625" style="169" customWidth="1"/>
    <col min="16136" max="16136" width="16.33203125" style="169" customWidth="1"/>
    <col min="16137" max="16137" width="15.33203125" style="169" customWidth="1"/>
    <col min="16138" max="16138" width="20" style="169" customWidth="1"/>
    <col min="16139" max="16139" width="16.6640625" style="169" customWidth="1"/>
    <col min="16140" max="16140" width="12.33203125" style="169" customWidth="1"/>
    <col min="16141" max="16384" width="9.33203125" style="169"/>
  </cols>
  <sheetData>
    <row r="1" spans="2:14" x14ac:dyDescent="0.25">
      <c r="B1" s="170"/>
      <c r="C1" s="170"/>
      <c r="E1" s="169"/>
      <c r="F1" s="169"/>
      <c r="G1" s="169"/>
      <c r="H1" s="169"/>
      <c r="I1" s="169"/>
      <c r="J1" s="169"/>
      <c r="K1" s="169"/>
      <c r="L1" s="169"/>
    </row>
    <row r="2" spans="2:14" x14ac:dyDescent="0.25">
      <c r="B2" s="208"/>
      <c r="C2" s="208"/>
      <c r="D2" s="208"/>
      <c r="E2" s="208"/>
      <c r="F2" s="299" t="s">
        <v>132</v>
      </c>
      <c r="G2" s="208"/>
      <c r="H2" s="208"/>
      <c r="I2" s="208"/>
      <c r="J2" s="208"/>
      <c r="K2" s="208"/>
      <c r="L2" s="208"/>
    </row>
    <row r="3" spans="2:14" x14ac:dyDescent="0.25">
      <c r="C3" s="209"/>
      <c r="D3" s="209"/>
      <c r="E3" s="209"/>
      <c r="F3" s="303" t="s">
        <v>592</v>
      </c>
      <c r="G3" s="209"/>
      <c r="H3" s="209"/>
      <c r="I3" s="209"/>
      <c r="J3" s="209"/>
      <c r="K3" s="209"/>
      <c r="L3" s="209"/>
    </row>
    <row r="4" spans="2:14" x14ac:dyDescent="0.25">
      <c r="B4" s="208"/>
      <c r="C4" s="208"/>
      <c r="D4" s="208"/>
      <c r="E4" s="208"/>
      <c r="F4" s="210" t="s">
        <v>695</v>
      </c>
      <c r="G4" s="208"/>
      <c r="H4" s="208"/>
      <c r="I4" s="208"/>
      <c r="J4" s="208"/>
      <c r="K4" s="208"/>
      <c r="L4" s="208"/>
    </row>
    <row r="5" spans="2:14" x14ac:dyDescent="0.25">
      <c r="E5" s="169"/>
      <c r="F5" s="169"/>
      <c r="G5" s="169"/>
      <c r="H5" s="169"/>
      <c r="I5" s="169"/>
      <c r="J5" s="169"/>
      <c r="K5" s="169"/>
      <c r="L5" s="169"/>
    </row>
    <row r="6" spans="2:14" x14ac:dyDescent="0.25">
      <c r="E6" s="169"/>
      <c r="F6" s="169"/>
      <c r="G6" s="169"/>
      <c r="H6" s="169"/>
      <c r="I6" s="169"/>
      <c r="J6" s="169"/>
      <c r="K6" s="169"/>
      <c r="L6" s="169"/>
    </row>
    <row r="7" spans="2:14" s="189" customFormat="1" x14ac:dyDescent="0.25">
      <c r="B7" s="1178" t="s">
        <v>1</v>
      </c>
      <c r="C7" s="1178" t="s">
        <v>696</v>
      </c>
      <c r="D7" s="1178" t="s">
        <v>697</v>
      </c>
      <c r="E7" s="1191" t="s">
        <v>87</v>
      </c>
      <c r="F7" s="1192"/>
      <c r="G7" s="1191" t="s">
        <v>88</v>
      </c>
      <c r="H7" s="1192"/>
      <c r="I7" s="1191" t="s">
        <v>89</v>
      </c>
      <c r="J7" s="1192"/>
      <c r="K7" s="1191" t="s">
        <v>90</v>
      </c>
      <c r="L7" s="1192"/>
      <c r="M7" s="1191" t="s">
        <v>91</v>
      </c>
      <c r="N7" s="1192"/>
    </row>
    <row r="8" spans="2:14" ht="41.4" x14ac:dyDescent="0.25">
      <c r="B8" s="1180"/>
      <c r="C8" s="1180"/>
      <c r="D8" s="1180"/>
      <c r="E8" s="211" t="s">
        <v>698</v>
      </c>
      <c r="F8" s="211" t="s">
        <v>699</v>
      </c>
      <c r="G8" s="211" t="s">
        <v>698</v>
      </c>
      <c r="H8" s="211" t="s">
        <v>699</v>
      </c>
      <c r="I8" s="211" t="s">
        <v>698</v>
      </c>
      <c r="J8" s="211" t="s">
        <v>699</v>
      </c>
      <c r="K8" s="211" t="s">
        <v>698</v>
      </c>
      <c r="L8" s="211" t="s">
        <v>699</v>
      </c>
      <c r="M8" s="211" t="s">
        <v>698</v>
      </c>
      <c r="N8" s="211" t="s">
        <v>699</v>
      </c>
    </row>
    <row r="9" spans="2:14" x14ac:dyDescent="0.25">
      <c r="B9" s="212"/>
      <c r="C9" s="212"/>
      <c r="D9" s="212"/>
      <c r="E9" s="212"/>
      <c r="F9" s="212"/>
      <c r="G9" s="212"/>
      <c r="H9" s="212"/>
      <c r="I9" s="212"/>
      <c r="J9" s="212"/>
      <c r="K9" s="212"/>
      <c r="L9" s="212"/>
      <c r="M9" s="212"/>
      <c r="N9" s="212"/>
    </row>
    <row r="10" spans="2:14" x14ac:dyDescent="0.25">
      <c r="B10" s="213"/>
      <c r="C10" s="214"/>
      <c r="D10" s="212"/>
      <c r="E10" s="215"/>
      <c r="F10" s="216"/>
      <c r="G10" s="215"/>
      <c r="H10" s="216"/>
      <c r="I10" s="216"/>
      <c r="J10" s="216"/>
      <c r="K10" s="215"/>
      <c r="L10" s="216"/>
      <c r="M10" s="216"/>
      <c r="N10" s="216"/>
    </row>
    <row r="11" spans="2:14" x14ac:dyDescent="0.25">
      <c r="B11" s="217"/>
      <c r="C11" s="218"/>
      <c r="D11" s="219"/>
      <c r="E11" s="220"/>
      <c r="F11" s="221"/>
      <c r="G11" s="220"/>
      <c r="H11" s="221"/>
      <c r="I11" s="221"/>
      <c r="J11" s="221"/>
      <c r="K11" s="220"/>
      <c r="L11" s="216"/>
      <c r="M11" s="216"/>
      <c r="N11" s="216"/>
    </row>
    <row r="12" spans="2:14" x14ac:dyDescent="0.25">
      <c r="B12" s="217"/>
      <c r="C12" s="218"/>
      <c r="D12" s="219"/>
      <c r="E12" s="220"/>
      <c r="F12" s="221"/>
      <c r="G12" s="220"/>
      <c r="H12" s="221"/>
      <c r="I12" s="221"/>
      <c r="J12" s="221"/>
      <c r="K12" s="220"/>
      <c r="L12" s="216"/>
      <c r="M12" s="216"/>
      <c r="N12" s="216"/>
    </row>
    <row r="13" spans="2:14" x14ac:dyDescent="0.25">
      <c r="B13" s="217"/>
      <c r="C13" s="218"/>
      <c r="D13" s="219"/>
      <c r="E13" s="220"/>
      <c r="F13" s="221"/>
      <c r="G13" s="220"/>
      <c r="H13" s="221"/>
      <c r="I13" s="221"/>
      <c r="J13" s="221"/>
      <c r="K13" s="220"/>
      <c r="L13" s="216"/>
      <c r="M13" s="216"/>
      <c r="N13" s="216"/>
    </row>
    <row r="14" spans="2:14" x14ac:dyDescent="0.25">
      <c r="B14" s="217"/>
      <c r="C14" s="222"/>
      <c r="D14" s="219"/>
      <c r="E14" s="220"/>
      <c r="F14" s="221"/>
      <c r="G14" s="220"/>
      <c r="H14" s="221"/>
      <c r="I14" s="221"/>
      <c r="J14" s="221"/>
      <c r="K14" s="220"/>
      <c r="L14" s="216"/>
      <c r="M14" s="216"/>
      <c r="N14" s="216"/>
    </row>
    <row r="15" spans="2:14" x14ac:dyDescent="0.25">
      <c r="B15" s="217"/>
      <c r="C15" s="218"/>
      <c r="D15" s="219"/>
      <c r="E15" s="220"/>
      <c r="F15" s="221"/>
      <c r="G15" s="220"/>
      <c r="H15" s="221"/>
      <c r="I15" s="221"/>
      <c r="J15" s="221"/>
      <c r="K15" s="220"/>
      <c r="L15" s="216"/>
      <c r="M15" s="216"/>
      <c r="N15" s="216"/>
    </row>
    <row r="16" spans="2:14" x14ac:dyDescent="0.25">
      <c r="B16" s="217"/>
      <c r="C16" s="218"/>
      <c r="D16" s="219"/>
      <c r="E16" s="220"/>
      <c r="F16" s="221"/>
      <c r="G16" s="220"/>
      <c r="H16" s="221"/>
      <c r="I16" s="221"/>
      <c r="J16" s="221"/>
      <c r="K16" s="220"/>
      <c r="L16" s="216"/>
      <c r="M16" s="216"/>
      <c r="N16" s="216"/>
    </row>
    <row r="17" spans="2:14" s="192" customFormat="1" ht="14.4" thickBot="1" x14ac:dyDescent="0.3">
      <c r="B17" s="223"/>
      <c r="C17" s="224" t="s">
        <v>180</v>
      </c>
      <c r="D17" s="225"/>
      <c r="E17" s="226"/>
      <c r="F17" s="227"/>
      <c r="G17" s="228"/>
      <c r="H17" s="227"/>
      <c r="I17" s="227"/>
      <c r="J17" s="227"/>
      <c r="K17" s="228"/>
      <c r="L17" s="228"/>
      <c r="M17" s="228"/>
      <c r="N17" s="228"/>
    </row>
    <row r="19" spans="2:14" x14ac:dyDescent="0.25">
      <c r="B19" s="169" t="s">
        <v>700</v>
      </c>
      <c r="C19" s="443"/>
      <c r="D19" s="443"/>
      <c r="E19" s="444"/>
      <c r="F19" s="445"/>
      <c r="G19" s="444"/>
      <c r="H19" s="445"/>
      <c r="I19" s="445"/>
      <c r="J19" s="445"/>
      <c r="K19" s="444"/>
    </row>
    <row r="20" spans="2:14" x14ac:dyDescent="0.25">
      <c r="C20" s="443" t="s">
        <v>701</v>
      </c>
      <c r="D20" s="443"/>
      <c r="E20" s="444"/>
      <c r="F20" s="445"/>
      <c r="G20" s="444"/>
      <c r="H20" s="445"/>
      <c r="I20" s="445"/>
      <c r="J20" s="445"/>
      <c r="K20" s="444"/>
    </row>
    <row r="21" spans="2:14" x14ac:dyDescent="0.25">
      <c r="C21" s="443" t="s">
        <v>702</v>
      </c>
      <c r="D21" s="443"/>
      <c r="E21" s="444"/>
      <c r="F21" s="445"/>
      <c r="G21" s="444"/>
      <c r="H21" s="445"/>
      <c r="I21" s="445"/>
      <c r="J21" s="445"/>
      <c r="K21" s="444"/>
    </row>
  </sheetData>
  <mergeCells count="8">
    <mergeCell ref="M7:N7"/>
    <mergeCell ref="B7:B8"/>
    <mergeCell ref="C7:C8"/>
    <mergeCell ref="D7:D8"/>
    <mergeCell ref="E7:F7"/>
    <mergeCell ref="G7:H7"/>
    <mergeCell ref="K7:L7"/>
    <mergeCell ref="I7:J7"/>
  </mergeCells>
  <pageMargins left="0.74803149606299213" right="0.74803149606299213" top="0.70866141732283472" bottom="0.47244094488188981" header="0.51181102362204722" footer="0.35433070866141736"/>
  <pageSetup paperSize="9" scale="55" orientation="landscape"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B1:J22"/>
  <sheetViews>
    <sheetView showGridLines="0" view="pageBreakPreview" zoomScale="70" zoomScaleNormal="75" zoomScaleSheetLayoutView="70" workbookViewId="0">
      <selection activeCell="L5" sqref="L5"/>
    </sheetView>
  </sheetViews>
  <sheetFormatPr defaultColWidth="9.33203125" defaultRowHeight="13.8" x14ac:dyDescent="0.25"/>
  <cols>
    <col min="1" max="1" width="9.33203125" style="231"/>
    <col min="2" max="2" width="39" style="231" customWidth="1"/>
    <col min="3" max="3" width="19.33203125" style="231" customWidth="1"/>
    <col min="4" max="7" width="15.6640625" style="231" customWidth="1"/>
    <col min="8" max="259" width="9.33203125" style="231"/>
    <col min="260" max="260" width="82.6640625" style="231" bestFit="1" customWidth="1"/>
    <col min="261" max="263" width="28.6640625" style="231" customWidth="1"/>
    <col min="264" max="515" width="9.33203125" style="231"/>
    <col min="516" max="516" width="82.6640625" style="231" bestFit="1" customWidth="1"/>
    <col min="517" max="519" width="28.6640625" style="231" customWidth="1"/>
    <col min="520" max="771" width="9.33203125" style="231"/>
    <col min="772" max="772" width="82.6640625" style="231" bestFit="1" customWidth="1"/>
    <col min="773" max="775" width="28.6640625" style="231" customWidth="1"/>
    <col min="776" max="1027" width="9.33203125" style="231"/>
    <col min="1028" max="1028" width="82.6640625" style="231" bestFit="1" customWidth="1"/>
    <col min="1029" max="1031" width="28.6640625" style="231" customWidth="1"/>
    <col min="1032" max="1283" width="9.33203125" style="231"/>
    <col min="1284" max="1284" width="82.6640625" style="231" bestFit="1" customWidth="1"/>
    <col min="1285" max="1287" width="28.6640625" style="231" customWidth="1"/>
    <col min="1288" max="1539" width="9.33203125" style="231"/>
    <col min="1540" max="1540" width="82.6640625" style="231" bestFit="1" customWidth="1"/>
    <col min="1541" max="1543" width="28.6640625" style="231" customWidth="1"/>
    <col min="1544" max="1795" width="9.33203125" style="231"/>
    <col min="1796" max="1796" width="82.6640625" style="231" bestFit="1" customWidth="1"/>
    <col min="1797" max="1799" width="28.6640625" style="231" customWidth="1"/>
    <col min="1800" max="2051" width="9.33203125" style="231"/>
    <col min="2052" max="2052" width="82.6640625" style="231" bestFit="1" customWidth="1"/>
    <col min="2053" max="2055" width="28.6640625" style="231" customWidth="1"/>
    <col min="2056" max="2307" width="9.33203125" style="231"/>
    <col min="2308" max="2308" width="82.6640625" style="231" bestFit="1" customWidth="1"/>
    <col min="2309" max="2311" width="28.6640625" style="231" customWidth="1"/>
    <col min="2312" max="2563" width="9.33203125" style="231"/>
    <col min="2564" max="2564" width="82.6640625" style="231" bestFit="1" customWidth="1"/>
    <col min="2565" max="2567" width="28.6640625" style="231" customWidth="1"/>
    <col min="2568" max="2819" width="9.33203125" style="231"/>
    <col min="2820" max="2820" width="82.6640625" style="231" bestFit="1" customWidth="1"/>
    <col min="2821" max="2823" width="28.6640625" style="231" customWidth="1"/>
    <col min="2824" max="3075" width="9.33203125" style="231"/>
    <col min="3076" max="3076" width="82.6640625" style="231" bestFit="1" customWidth="1"/>
    <col min="3077" max="3079" width="28.6640625" style="231" customWidth="1"/>
    <col min="3080" max="3331" width="9.33203125" style="231"/>
    <col min="3332" max="3332" width="82.6640625" style="231" bestFit="1" customWidth="1"/>
    <col min="3333" max="3335" width="28.6640625" style="231" customWidth="1"/>
    <col min="3336" max="3587" width="9.33203125" style="231"/>
    <col min="3588" max="3588" width="82.6640625" style="231" bestFit="1" customWidth="1"/>
    <col min="3589" max="3591" width="28.6640625" style="231" customWidth="1"/>
    <col min="3592" max="3843" width="9.33203125" style="231"/>
    <col min="3844" max="3844" width="82.6640625" style="231" bestFit="1" customWidth="1"/>
    <col min="3845" max="3847" width="28.6640625" style="231" customWidth="1"/>
    <col min="3848" max="4099" width="9.33203125" style="231"/>
    <col min="4100" max="4100" width="82.6640625" style="231" bestFit="1" customWidth="1"/>
    <col min="4101" max="4103" width="28.6640625" style="231" customWidth="1"/>
    <col min="4104" max="4355" width="9.33203125" style="231"/>
    <col min="4356" max="4356" width="82.6640625" style="231" bestFit="1" customWidth="1"/>
    <col min="4357" max="4359" width="28.6640625" style="231" customWidth="1"/>
    <col min="4360" max="4611" width="9.33203125" style="231"/>
    <col min="4612" max="4612" width="82.6640625" style="231" bestFit="1" customWidth="1"/>
    <col min="4613" max="4615" width="28.6640625" style="231" customWidth="1"/>
    <col min="4616" max="4867" width="9.33203125" style="231"/>
    <col min="4868" max="4868" width="82.6640625" style="231" bestFit="1" customWidth="1"/>
    <col min="4869" max="4871" width="28.6640625" style="231" customWidth="1"/>
    <col min="4872" max="5123" width="9.33203125" style="231"/>
    <col min="5124" max="5124" width="82.6640625" style="231" bestFit="1" customWidth="1"/>
    <col min="5125" max="5127" width="28.6640625" style="231" customWidth="1"/>
    <col min="5128" max="5379" width="9.33203125" style="231"/>
    <col min="5380" max="5380" width="82.6640625" style="231" bestFit="1" customWidth="1"/>
    <col min="5381" max="5383" width="28.6640625" style="231" customWidth="1"/>
    <col min="5384" max="5635" width="9.33203125" style="231"/>
    <col min="5636" max="5636" width="82.6640625" style="231" bestFit="1" customWidth="1"/>
    <col min="5637" max="5639" width="28.6640625" style="231" customWidth="1"/>
    <col min="5640" max="5891" width="9.33203125" style="231"/>
    <col min="5892" max="5892" width="82.6640625" style="231" bestFit="1" customWidth="1"/>
    <col min="5893" max="5895" width="28.6640625" style="231" customWidth="1"/>
    <col min="5896" max="6147" width="9.33203125" style="231"/>
    <col min="6148" max="6148" width="82.6640625" style="231" bestFit="1" customWidth="1"/>
    <col min="6149" max="6151" width="28.6640625" style="231" customWidth="1"/>
    <col min="6152" max="6403" width="9.33203125" style="231"/>
    <col min="6404" max="6404" width="82.6640625" style="231" bestFit="1" customWidth="1"/>
    <col min="6405" max="6407" width="28.6640625" style="231" customWidth="1"/>
    <col min="6408" max="6659" width="9.33203125" style="231"/>
    <col min="6660" max="6660" width="82.6640625" style="231" bestFit="1" customWidth="1"/>
    <col min="6661" max="6663" width="28.6640625" style="231" customWidth="1"/>
    <col min="6664" max="6915" width="9.33203125" style="231"/>
    <col min="6916" max="6916" width="82.6640625" style="231" bestFit="1" customWidth="1"/>
    <col min="6917" max="6919" width="28.6640625" style="231" customWidth="1"/>
    <col min="6920" max="7171" width="9.33203125" style="231"/>
    <col min="7172" max="7172" width="82.6640625" style="231" bestFit="1" customWidth="1"/>
    <col min="7173" max="7175" width="28.6640625" style="231" customWidth="1"/>
    <col min="7176" max="7427" width="9.33203125" style="231"/>
    <col min="7428" max="7428" width="82.6640625" style="231" bestFit="1" customWidth="1"/>
    <col min="7429" max="7431" width="28.6640625" style="231" customWidth="1"/>
    <col min="7432" max="7683" width="9.33203125" style="231"/>
    <col min="7684" max="7684" width="82.6640625" style="231" bestFit="1" customWidth="1"/>
    <col min="7685" max="7687" width="28.6640625" style="231" customWidth="1"/>
    <col min="7688" max="7939" width="9.33203125" style="231"/>
    <col min="7940" max="7940" width="82.6640625" style="231" bestFit="1" customWidth="1"/>
    <col min="7941" max="7943" width="28.6640625" style="231" customWidth="1"/>
    <col min="7944" max="8195" width="9.33203125" style="231"/>
    <col min="8196" max="8196" width="82.6640625" style="231" bestFit="1" customWidth="1"/>
    <col min="8197" max="8199" width="28.6640625" style="231" customWidth="1"/>
    <col min="8200" max="8451" width="9.33203125" style="231"/>
    <col min="8452" max="8452" width="82.6640625" style="231" bestFit="1" customWidth="1"/>
    <col min="8453" max="8455" width="28.6640625" style="231" customWidth="1"/>
    <col min="8456" max="8707" width="9.33203125" style="231"/>
    <col min="8708" max="8708" width="82.6640625" style="231" bestFit="1" customWidth="1"/>
    <col min="8709" max="8711" width="28.6640625" style="231" customWidth="1"/>
    <col min="8712" max="8963" width="9.33203125" style="231"/>
    <col min="8964" max="8964" width="82.6640625" style="231" bestFit="1" customWidth="1"/>
    <col min="8965" max="8967" width="28.6640625" style="231" customWidth="1"/>
    <col min="8968" max="9219" width="9.33203125" style="231"/>
    <col min="9220" max="9220" width="82.6640625" style="231" bestFit="1" customWidth="1"/>
    <col min="9221" max="9223" width="28.6640625" style="231" customWidth="1"/>
    <col min="9224" max="9475" width="9.33203125" style="231"/>
    <col min="9476" max="9476" width="82.6640625" style="231" bestFit="1" customWidth="1"/>
    <col min="9477" max="9479" width="28.6640625" style="231" customWidth="1"/>
    <col min="9480" max="9731" width="9.33203125" style="231"/>
    <col min="9732" max="9732" width="82.6640625" style="231" bestFit="1" customWidth="1"/>
    <col min="9733" max="9735" width="28.6640625" style="231" customWidth="1"/>
    <col min="9736" max="9987" width="9.33203125" style="231"/>
    <col min="9988" max="9988" width="82.6640625" style="231" bestFit="1" customWidth="1"/>
    <col min="9989" max="9991" width="28.6640625" style="231" customWidth="1"/>
    <col min="9992" max="10243" width="9.33203125" style="231"/>
    <col min="10244" max="10244" width="82.6640625" style="231" bestFit="1" customWidth="1"/>
    <col min="10245" max="10247" width="28.6640625" style="231" customWidth="1"/>
    <col min="10248" max="10499" width="9.33203125" style="231"/>
    <col min="10500" max="10500" width="82.6640625" style="231" bestFit="1" customWidth="1"/>
    <col min="10501" max="10503" width="28.6640625" style="231" customWidth="1"/>
    <col min="10504" max="10755" width="9.33203125" style="231"/>
    <col min="10756" max="10756" width="82.6640625" style="231" bestFit="1" customWidth="1"/>
    <col min="10757" max="10759" width="28.6640625" style="231" customWidth="1"/>
    <col min="10760" max="11011" width="9.33203125" style="231"/>
    <col min="11012" max="11012" width="82.6640625" style="231" bestFit="1" customWidth="1"/>
    <col min="11013" max="11015" width="28.6640625" style="231" customWidth="1"/>
    <col min="11016" max="11267" width="9.33203125" style="231"/>
    <col min="11268" max="11268" width="82.6640625" style="231" bestFit="1" customWidth="1"/>
    <col min="11269" max="11271" width="28.6640625" style="231" customWidth="1"/>
    <col min="11272" max="11523" width="9.33203125" style="231"/>
    <col min="11524" max="11524" width="82.6640625" style="231" bestFit="1" customWidth="1"/>
    <col min="11525" max="11527" width="28.6640625" style="231" customWidth="1"/>
    <col min="11528" max="11779" width="9.33203125" style="231"/>
    <col min="11780" max="11780" width="82.6640625" style="231" bestFit="1" customWidth="1"/>
    <col min="11781" max="11783" width="28.6640625" style="231" customWidth="1"/>
    <col min="11784" max="12035" width="9.33203125" style="231"/>
    <col min="12036" max="12036" width="82.6640625" style="231" bestFit="1" customWidth="1"/>
    <col min="12037" max="12039" width="28.6640625" style="231" customWidth="1"/>
    <col min="12040" max="12291" width="9.33203125" style="231"/>
    <col min="12292" max="12292" width="82.6640625" style="231" bestFit="1" customWidth="1"/>
    <col min="12293" max="12295" width="28.6640625" style="231" customWidth="1"/>
    <col min="12296" max="12547" width="9.33203125" style="231"/>
    <col min="12548" max="12548" width="82.6640625" style="231" bestFit="1" customWidth="1"/>
    <col min="12549" max="12551" width="28.6640625" style="231" customWidth="1"/>
    <col min="12552" max="12803" width="9.33203125" style="231"/>
    <col min="12804" max="12804" width="82.6640625" style="231" bestFit="1" customWidth="1"/>
    <col min="12805" max="12807" width="28.6640625" style="231" customWidth="1"/>
    <col min="12808" max="13059" width="9.33203125" style="231"/>
    <col min="13060" max="13060" width="82.6640625" style="231" bestFit="1" customWidth="1"/>
    <col min="13061" max="13063" width="28.6640625" style="231" customWidth="1"/>
    <col min="13064" max="13315" width="9.33203125" style="231"/>
    <col min="13316" max="13316" width="82.6640625" style="231" bestFit="1" customWidth="1"/>
    <col min="13317" max="13319" width="28.6640625" style="231" customWidth="1"/>
    <col min="13320" max="13571" width="9.33203125" style="231"/>
    <col min="13572" max="13572" width="82.6640625" style="231" bestFit="1" customWidth="1"/>
    <col min="13573" max="13575" width="28.6640625" style="231" customWidth="1"/>
    <col min="13576" max="13827" width="9.33203125" style="231"/>
    <col min="13828" max="13828" width="82.6640625" style="231" bestFit="1" customWidth="1"/>
    <col min="13829" max="13831" width="28.6640625" style="231" customWidth="1"/>
    <col min="13832" max="14083" width="9.33203125" style="231"/>
    <col min="14084" max="14084" width="82.6640625" style="231" bestFit="1" customWidth="1"/>
    <col min="14085" max="14087" width="28.6640625" style="231" customWidth="1"/>
    <col min="14088" max="14339" width="9.33203125" style="231"/>
    <col min="14340" max="14340" width="82.6640625" style="231" bestFit="1" customWidth="1"/>
    <col min="14341" max="14343" width="28.6640625" style="231" customWidth="1"/>
    <col min="14344" max="14595" width="9.33203125" style="231"/>
    <col min="14596" max="14596" width="82.6640625" style="231" bestFit="1" customWidth="1"/>
    <col min="14597" max="14599" width="28.6640625" style="231" customWidth="1"/>
    <col min="14600" max="14851" width="9.33203125" style="231"/>
    <col min="14852" max="14852" width="82.6640625" style="231" bestFit="1" customWidth="1"/>
    <col min="14853" max="14855" width="28.6640625" style="231" customWidth="1"/>
    <col min="14856" max="15107" width="9.33203125" style="231"/>
    <col min="15108" max="15108" width="82.6640625" style="231" bestFit="1" customWidth="1"/>
    <col min="15109" max="15111" width="28.6640625" style="231" customWidth="1"/>
    <col min="15112" max="15363" width="9.33203125" style="231"/>
    <col min="15364" max="15364" width="82.6640625" style="231" bestFit="1" customWidth="1"/>
    <col min="15365" max="15367" width="28.6640625" style="231" customWidth="1"/>
    <col min="15368" max="15619" width="9.33203125" style="231"/>
    <col min="15620" max="15620" width="82.6640625" style="231" bestFit="1" customWidth="1"/>
    <col min="15621" max="15623" width="28.6640625" style="231" customWidth="1"/>
    <col min="15624" max="15875" width="9.33203125" style="231"/>
    <col min="15876" max="15876" width="82.6640625" style="231" bestFit="1" customWidth="1"/>
    <col min="15877" max="15879" width="28.6640625" style="231" customWidth="1"/>
    <col min="15880" max="16131" width="9.33203125" style="231"/>
    <col min="16132" max="16132" width="82.6640625" style="231" bestFit="1" customWidth="1"/>
    <col min="16133" max="16135" width="28.6640625" style="231" customWidth="1"/>
    <col min="16136" max="16384" width="9.33203125" style="231"/>
  </cols>
  <sheetData>
    <row r="1" spans="2:10" x14ac:dyDescent="0.25">
      <c r="B1" s="230"/>
    </row>
    <row r="2" spans="2:10" x14ac:dyDescent="0.25">
      <c r="B2" s="14"/>
      <c r="C2" s="299" t="s">
        <v>132</v>
      </c>
      <c r="D2" s="172"/>
      <c r="E2" s="172"/>
      <c r="F2" s="14"/>
      <c r="G2" s="14"/>
    </row>
    <row r="3" spans="2:10" x14ac:dyDescent="0.25">
      <c r="B3" s="232"/>
      <c r="C3" s="303" t="s">
        <v>592</v>
      </c>
      <c r="D3" s="233"/>
      <c r="E3" s="233"/>
      <c r="F3" s="232"/>
      <c r="G3" s="232"/>
    </row>
    <row r="4" spans="2:10" x14ac:dyDescent="0.25">
      <c r="B4" s="14"/>
      <c r="C4" s="210" t="s">
        <v>703</v>
      </c>
      <c r="D4" s="210"/>
      <c r="E4" s="210"/>
      <c r="F4" s="14"/>
      <c r="G4" s="14"/>
      <c r="J4" s="172"/>
    </row>
    <row r="5" spans="2:10" x14ac:dyDescent="0.25">
      <c r="G5" s="234" t="s">
        <v>73</v>
      </c>
      <c r="J5" s="233"/>
    </row>
    <row r="6" spans="2:10" s="236" customFormat="1" x14ac:dyDescent="0.25">
      <c r="B6" s="235" t="s">
        <v>704</v>
      </c>
      <c r="C6" s="438" t="s">
        <v>87</v>
      </c>
      <c r="D6" s="438" t="s">
        <v>88</v>
      </c>
      <c r="E6" s="438" t="s">
        <v>89</v>
      </c>
      <c r="F6" s="438" t="s">
        <v>90</v>
      </c>
      <c r="G6" s="438" t="s">
        <v>91</v>
      </c>
      <c r="J6" s="210"/>
    </row>
    <row r="7" spans="2:10" x14ac:dyDescent="0.25">
      <c r="B7" s="237"/>
      <c r="C7" s="237"/>
      <c r="D7" s="237"/>
      <c r="E7" s="237"/>
      <c r="F7" s="237"/>
      <c r="G7" s="237"/>
    </row>
    <row r="8" spans="2:10" x14ac:dyDescent="0.25">
      <c r="B8" s="238" t="s">
        <v>705</v>
      </c>
      <c r="C8" s="239"/>
      <c r="D8" s="239"/>
      <c r="E8" s="239"/>
      <c r="F8" s="239"/>
      <c r="G8" s="239"/>
    </row>
    <row r="9" spans="2:10" x14ac:dyDescent="0.25">
      <c r="B9" s="240"/>
      <c r="C9" s="239"/>
      <c r="D9" s="239"/>
      <c r="E9" s="239"/>
      <c r="F9" s="239"/>
      <c r="G9" s="239"/>
    </row>
    <row r="10" spans="2:10" x14ac:dyDescent="0.25">
      <c r="B10" s="240" t="s">
        <v>706</v>
      </c>
      <c r="C10" s="239"/>
      <c r="D10" s="239"/>
      <c r="E10" s="239"/>
      <c r="F10" s="239"/>
      <c r="G10" s="239"/>
    </row>
    <row r="11" spans="2:10" x14ac:dyDescent="0.25">
      <c r="B11" s="238" t="s">
        <v>603</v>
      </c>
      <c r="C11" s="239"/>
      <c r="D11" s="239"/>
      <c r="E11" s="239"/>
      <c r="F11" s="239"/>
      <c r="G11" s="239"/>
    </row>
    <row r="12" spans="2:10" x14ac:dyDescent="0.25">
      <c r="B12" s="238" t="s">
        <v>604</v>
      </c>
      <c r="C12" s="239"/>
      <c r="D12" s="239"/>
      <c r="E12" s="239"/>
      <c r="F12" s="239"/>
      <c r="G12" s="239"/>
    </row>
    <row r="13" spans="2:10" x14ac:dyDescent="0.25">
      <c r="B13" s="238" t="s">
        <v>216</v>
      </c>
      <c r="C13" s="239"/>
      <c r="D13" s="239"/>
      <c r="E13" s="239"/>
      <c r="F13" s="239"/>
      <c r="G13" s="239"/>
    </row>
    <row r="14" spans="2:10" x14ac:dyDescent="0.25">
      <c r="B14" s="241" t="s">
        <v>658</v>
      </c>
      <c r="C14" s="242"/>
      <c r="D14" s="242"/>
      <c r="E14" s="242"/>
      <c r="F14" s="242"/>
      <c r="G14" s="242"/>
    </row>
    <row r="15" spans="2:10" x14ac:dyDescent="0.25">
      <c r="B15" s="237"/>
      <c r="C15" s="239"/>
      <c r="D15" s="239"/>
      <c r="E15" s="239"/>
      <c r="F15" s="239"/>
      <c r="G15" s="239"/>
    </row>
    <row r="16" spans="2:10" x14ac:dyDescent="0.25">
      <c r="B16" s="243" t="s">
        <v>312</v>
      </c>
      <c r="C16" s="239"/>
      <c r="D16" s="239"/>
      <c r="E16" s="239"/>
      <c r="F16" s="239"/>
      <c r="G16" s="239"/>
    </row>
    <row r="17" spans="2:7" x14ac:dyDescent="0.25">
      <c r="B17" s="241" t="s">
        <v>707</v>
      </c>
      <c r="C17" s="239"/>
      <c r="D17" s="239"/>
      <c r="E17" s="239"/>
      <c r="F17" s="239"/>
      <c r="G17" s="239"/>
    </row>
    <row r="18" spans="2:7" x14ac:dyDescent="0.25">
      <c r="B18" s="241" t="s">
        <v>708</v>
      </c>
      <c r="C18" s="239"/>
      <c r="D18" s="239"/>
      <c r="E18" s="239"/>
      <c r="F18" s="239"/>
      <c r="G18" s="239"/>
    </row>
    <row r="19" spans="2:7" x14ac:dyDescent="0.25">
      <c r="B19" s="237"/>
      <c r="C19" s="239"/>
      <c r="D19" s="239"/>
      <c r="E19" s="239"/>
      <c r="F19" s="239"/>
      <c r="G19" s="239"/>
    </row>
    <row r="20" spans="2:7" x14ac:dyDescent="0.25">
      <c r="B20" s="241" t="s">
        <v>180</v>
      </c>
      <c r="C20" s="239"/>
      <c r="D20" s="239"/>
      <c r="E20" s="239"/>
      <c r="F20" s="239"/>
      <c r="G20" s="239"/>
    </row>
    <row r="21" spans="2:7" x14ac:dyDescent="0.25">
      <c r="C21" s="244"/>
      <c r="D21" s="244"/>
      <c r="E21" s="244"/>
      <c r="F21" s="245"/>
      <c r="G21" s="246"/>
    </row>
    <row r="22" spans="2:7" x14ac:dyDescent="0.25">
      <c r="B22" s="169" t="s">
        <v>597</v>
      </c>
    </row>
  </sheetData>
  <printOptions horizontalCentered="1" verticalCentered="1"/>
  <pageMargins left="1.1811023622047245" right="0.39370078740157483" top="0.74803149606299213" bottom="1.1811023622047245" header="0.31496062992125984" footer="0.31496062992125984"/>
  <pageSetup paperSize="9" orientation="landscape"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B1:Z55"/>
  <sheetViews>
    <sheetView view="pageBreakPreview" zoomScale="70" zoomScaleSheetLayoutView="70" workbookViewId="0">
      <pane ySplit="7" topLeftCell="A8" activePane="bottomLeft" state="frozen"/>
      <selection activeCell="L5" sqref="L5"/>
      <selection pane="bottomLeft" activeCell="L5" sqref="L5"/>
    </sheetView>
  </sheetViews>
  <sheetFormatPr defaultColWidth="9.33203125" defaultRowHeight="13.8" x14ac:dyDescent="0.25"/>
  <cols>
    <col min="1" max="1" width="2.6640625" style="248" customWidth="1"/>
    <col min="2" max="2" width="9.6640625" style="248" customWidth="1"/>
    <col min="3" max="3" width="36.33203125" style="248" customWidth="1"/>
    <col min="4" max="20" width="9.33203125" style="248" customWidth="1"/>
    <col min="21" max="23" width="9.33203125" style="248"/>
    <col min="24" max="24" width="11.33203125" style="248" customWidth="1"/>
    <col min="25" max="25" width="10.33203125" style="248" customWidth="1"/>
    <col min="26" max="233" width="9.33203125" style="248"/>
    <col min="234" max="234" width="2.6640625" style="248" customWidth="1"/>
    <col min="235" max="235" width="13.33203125" style="248" customWidth="1"/>
    <col min="236" max="236" width="60.33203125" style="248" customWidth="1"/>
    <col min="237" max="241" width="10.6640625" style="248" bestFit="1" customWidth="1"/>
    <col min="242" max="242" width="11.6640625" style="248" bestFit="1" customWidth="1"/>
    <col min="243" max="243" width="14.33203125" style="248" bestFit="1" customWidth="1"/>
    <col min="244" max="244" width="17.44140625" style="248" bestFit="1" customWidth="1"/>
    <col min="245" max="247" width="17.5546875" style="248" bestFit="1" customWidth="1"/>
    <col min="248" max="254" width="21" style="248" bestFit="1" customWidth="1"/>
    <col min="255" max="262" width="21.33203125" style="248" bestFit="1" customWidth="1"/>
    <col min="263" max="263" width="22.6640625" style="248" customWidth="1"/>
    <col min="264" max="264" width="22" style="248" customWidth="1"/>
    <col min="265" max="265" width="22.6640625" style="248" customWidth="1"/>
    <col min="266" max="271" width="21.33203125" style="248" bestFit="1" customWidth="1"/>
    <col min="272" max="272" width="19.5546875" style="248" customWidth="1"/>
    <col min="273" max="273" width="21.33203125" style="248" bestFit="1" customWidth="1"/>
    <col min="274" max="274" width="22.6640625" style="248" customWidth="1"/>
    <col min="275" max="275" width="22" style="248" customWidth="1"/>
    <col min="276" max="276" width="23.44140625" style="248" bestFit="1" customWidth="1"/>
    <col min="277" max="279" width="9.33203125" style="248"/>
    <col min="280" max="280" width="11.33203125" style="248" customWidth="1"/>
    <col min="281" max="281" width="10.33203125" style="248" customWidth="1"/>
    <col min="282" max="489" width="9.33203125" style="248"/>
    <col min="490" max="490" width="2.6640625" style="248" customWidth="1"/>
    <col min="491" max="491" width="13.33203125" style="248" customWidth="1"/>
    <col min="492" max="492" width="60.33203125" style="248" customWidth="1"/>
    <col min="493" max="497" width="10.6640625" style="248" bestFit="1" customWidth="1"/>
    <col min="498" max="498" width="11.6640625" style="248" bestFit="1" customWidth="1"/>
    <col min="499" max="499" width="14.33203125" style="248" bestFit="1" customWidth="1"/>
    <col min="500" max="500" width="17.44140625" style="248" bestFit="1" customWidth="1"/>
    <col min="501" max="503" width="17.5546875" style="248" bestFit="1" customWidth="1"/>
    <col min="504" max="510" width="21" style="248" bestFit="1" customWidth="1"/>
    <col min="511" max="518" width="21.33203125" style="248" bestFit="1" customWidth="1"/>
    <col min="519" max="519" width="22.6640625" style="248" customWidth="1"/>
    <col min="520" max="520" width="22" style="248" customWidth="1"/>
    <col min="521" max="521" width="22.6640625" style="248" customWidth="1"/>
    <col min="522" max="527" width="21.33203125" style="248" bestFit="1" customWidth="1"/>
    <col min="528" max="528" width="19.5546875" style="248" customWidth="1"/>
    <col min="529" max="529" width="21.33203125" style="248" bestFit="1" customWidth="1"/>
    <col min="530" max="530" width="22.6640625" style="248" customWidth="1"/>
    <col min="531" max="531" width="22" style="248" customWidth="1"/>
    <col min="532" max="532" width="23.44140625" style="248" bestFit="1" customWidth="1"/>
    <col min="533" max="535" width="9.33203125" style="248"/>
    <col min="536" max="536" width="11.33203125" style="248" customWidth="1"/>
    <col min="537" max="537" width="10.33203125" style="248" customWidth="1"/>
    <col min="538" max="745" width="9.33203125" style="248"/>
    <col min="746" max="746" width="2.6640625" style="248" customWidth="1"/>
    <col min="747" max="747" width="13.33203125" style="248" customWidth="1"/>
    <col min="748" max="748" width="60.33203125" style="248" customWidth="1"/>
    <col min="749" max="753" width="10.6640625" style="248" bestFit="1" customWidth="1"/>
    <col min="754" max="754" width="11.6640625" style="248" bestFit="1" customWidth="1"/>
    <col min="755" max="755" width="14.33203125" style="248" bestFit="1" customWidth="1"/>
    <col min="756" max="756" width="17.44140625" style="248" bestFit="1" customWidth="1"/>
    <col min="757" max="759" width="17.5546875" style="248" bestFit="1" customWidth="1"/>
    <col min="760" max="766" width="21" style="248" bestFit="1" customWidth="1"/>
    <col min="767" max="774" width="21.33203125" style="248" bestFit="1" customWidth="1"/>
    <col min="775" max="775" width="22.6640625" style="248" customWidth="1"/>
    <col min="776" max="776" width="22" style="248" customWidth="1"/>
    <col min="777" max="777" width="22.6640625" style="248" customWidth="1"/>
    <col min="778" max="783" width="21.33203125" style="248" bestFit="1" customWidth="1"/>
    <col min="784" max="784" width="19.5546875" style="248" customWidth="1"/>
    <col min="785" max="785" width="21.33203125" style="248" bestFit="1" customWidth="1"/>
    <col min="786" max="786" width="22.6640625" style="248" customWidth="1"/>
    <col min="787" max="787" width="22" style="248" customWidth="1"/>
    <col min="788" max="788" width="23.44140625" style="248" bestFit="1" customWidth="1"/>
    <col min="789" max="791" width="9.33203125" style="248"/>
    <col min="792" max="792" width="11.33203125" style="248" customWidth="1"/>
    <col min="793" max="793" width="10.33203125" style="248" customWidth="1"/>
    <col min="794" max="1001" width="9.33203125" style="248"/>
    <col min="1002" max="1002" width="2.6640625" style="248" customWidth="1"/>
    <col min="1003" max="1003" width="13.33203125" style="248" customWidth="1"/>
    <col min="1004" max="1004" width="60.33203125" style="248" customWidth="1"/>
    <col min="1005" max="1009" width="10.6640625" style="248" bestFit="1" customWidth="1"/>
    <col min="1010" max="1010" width="11.6640625" style="248" bestFit="1" customWidth="1"/>
    <col min="1011" max="1011" width="14.33203125" style="248" bestFit="1" customWidth="1"/>
    <col min="1012" max="1012" width="17.44140625" style="248" bestFit="1" customWidth="1"/>
    <col min="1013" max="1015" width="17.5546875" style="248" bestFit="1" customWidth="1"/>
    <col min="1016" max="1022" width="21" style="248" bestFit="1" customWidth="1"/>
    <col min="1023" max="1030" width="21.33203125" style="248" bestFit="1" customWidth="1"/>
    <col min="1031" max="1031" width="22.6640625" style="248" customWidth="1"/>
    <col min="1032" max="1032" width="22" style="248" customWidth="1"/>
    <col min="1033" max="1033" width="22.6640625" style="248" customWidth="1"/>
    <col min="1034" max="1039" width="21.33203125" style="248" bestFit="1" customWidth="1"/>
    <col min="1040" max="1040" width="19.5546875" style="248" customWidth="1"/>
    <col min="1041" max="1041" width="21.33203125" style="248" bestFit="1" customWidth="1"/>
    <col min="1042" max="1042" width="22.6640625" style="248" customWidth="1"/>
    <col min="1043" max="1043" width="22" style="248" customWidth="1"/>
    <col min="1044" max="1044" width="23.44140625" style="248" bestFit="1" customWidth="1"/>
    <col min="1045" max="1047" width="9.33203125" style="248"/>
    <col min="1048" max="1048" width="11.33203125" style="248" customWidth="1"/>
    <col min="1049" max="1049" width="10.33203125" style="248" customWidth="1"/>
    <col min="1050" max="1257" width="9.33203125" style="248"/>
    <col min="1258" max="1258" width="2.6640625" style="248" customWidth="1"/>
    <col min="1259" max="1259" width="13.33203125" style="248" customWidth="1"/>
    <col min="1260" max="1260" width="60.33203125" style="248" customWidth="1"/>
    <col min="1261" max="1265" width="10.6640625" style="248" bestFit="1" customWidth="1"/>
    <col min="1266" max="1266" width="11.6640625" style="248" bestFit="1" customWidth="1"/>
    <col min="1267" max="1267" width="14.33203125" style="248" bestFit="1" customWidth="1"/>
    <col min="1268" max="1268" width="17.44140625" style="248" bestFit="1" customWidth="1"/>
    <col min="1269" max="1271" width="17.5546875" style="248" bestFit="1" customWidth="1"/>
    <col min="1272" max="1278" width="21" style="248" bestFit="1" customWidth="1"/>
    <col min="1279" max="1286" width="21.33203125" style="248" bestFit="1" customWidth="1"/>
    <col min="1287" max="1287" width="22.6640625" style="248" customWidth="1"/>
    <col min="1288" max="1288" width="22" style="248" customWidth="1"/>
    <col min="1289" max="1289" width="22.6640625" style="248" customWidth="1"/>
    <col min="1290" max="1295" width="21.33203125" style="248" bestFit="1" customWidth="1"/>
    <col min="1296" max="1296" width="19.5546875" style="248" customWidth="1"/>
    <col min="1297" max="1297" width="21.33203125" style="248" bestFit="1" customWidth="1"/>
    <col min="1298" max="1298" width="22.6640625" style="248" customWidth="1"/>
    <col min="1299" max="1299" width="22" style="248" customWidth="1"/>
    <col min="1300" max="1300" width="23.44140625" style="248" bestFit="1" customWidth="1"/>
    <col min="1301" max="1303" width="9.33203125" style="248"/>
    <col min="1304" max="1304" width="11.33203125" style="248" customWidth="1"/>
    <col min="1305" max="1305" width="10.33203125" style="248" customWidth="1"/>
    <col min="1306" max="1513" width="9.33203125" style="248"/>
    <col min="1514" max="1514" width="2.6640625" style="248" customWidth="1"/>
    <col min="1515" max="1515" width="13.33203125" style="248" customWidth="1"/>
    <col min="1516" max="1516" width="60.33203125" style="248" customWidth="1"/>
    <col min="1517" max="1521" width="10.6640625" style="248" bestFit="1" customWidth="1"/>
    <col min="1522" max="1522" width="11.6640625" style="248" bestFit="1" customWidth="1"/>
    <col min="1523" max="1523" width="14.33203125" style="248" bestFit="1" customWidth="1"/>
    <col min="1524" max="1524" width="17.44140625" style="248" bestFit="1" customWidth="1"/>
    <col min="1525" max="1527" width="17.5546875" style="248" bestFit="1" customWidth="1"/>
    <col min="1528" max="1534" width="21" style="248" bestFit="1" customWidth="1"/>
    <col min="1535" max="1542" width="21.33203125" style="248" bestFit="1" customWidth="1"/>
    <col min="1543" max="1543" width="22.6640625" style="248" customWidth="1"/>
    <col min="1544" max="1544" width="22" style="248" customWidth="1"/>
    <col min="1545" max="1545" width="22.6640625" style="248" customWidth="1"/>
    <col min="1546" max="1551" width="21.33203125" style="248" bestFit="1" customWidth="1"/>
    <col min="1552" max="1552" width="19.5546875" style="248" customWidth="1"/>
    <col min="1553" max="1553" width="21.33203125" style="248" bestFit="1" customWidth="1"/>
    <col min="1554" max="1554" width="22.6640625" style="248" customWidth="1"/>
    <col min="1555" max="1555" width="22" style="248" customWidth="1"/>
    <col min="1556" max="1556" width="23.44140625" style="248" bestFit="1" customWidth="1"/>
    <col min="1557" max="1559" width="9.33203125" style="248"/>
    <col min="1560" max="1560" width="11.33203125" style="248" customWidth="1"/>
    <col min="1561" max="1561" width="10.33203125" style="248" customWidth="1"/>
    <col min="1562" max="1769" width="9.33203125" style="248"/>
    <col min="1770" max="1770" width="2.6640625" style="248" customWidth="1"/>
    <col min="1771" max="1771" width="13.33203125" style="248" customWidth="1"/>
    <col min="1772" max="1772" width="60.33203125" style="248" customWidth="1"/>
    <col min="1773" max="1777" width="10.6640625" style="248" bestFit="1" customWidth="1"/>
    <col min="1778" max="1778" width="11.6640625" style="248" bestFit="1" customWidth="1"/>
    <col min="1779" max="1779" width="14.33203125" style="248" bestFit="1" customWidth="1"/>
    <col min="1780" max="1780" width="17.44140625" style="248" bestFit="1" customWidth="1"/>
    <col min="1781" max="1783" width="17.5546875" style="248" bestFit="1" customWidth="1"/>
    <col min="1784" max="1790" width="21" style="248" bestFit="1" customWidth="1"/>
    <col min="1791" max="1798" width="21.33203125" style="248" bestFit="1" customWidth="1"/>
    <col min="1799" max="1799" width="22.6640625" style="248" customWidth="1"/>
    <col min="1800" max="1800" width="22" style="248" customWidth="1"/>
    <col min="1801" max="1801" width="22.6640625" style="248" customWidth="1"/>
    <col min="1802" max="1807" width="21.33203125" style="248" bestFit="1" customWidth="1"/>
    <col min="1808" max="1808" width="19.5546875" style="248" customWidth="1"/>
    <col min="1809" max="1809" width="21.33203125" style="248" bestFit="1" customWidth="1"/>
    <col min="1810" max="1810" width="22.6640625" style="248" customWidth="1"/>
    <col min="1811" max="1811" width="22" style="248" customWidth="1"/>
    <col min="1812" max="1812" width="23.44140625" style="248" bestFit="1" customWidth="1"/>
    <col min="1813" max="1815" width="9.33203125" style="248"/>
    <col min="1816" max="1816" width="11.33203125" style="248" customWidth="1"/>
    <col min="1817" max="1817" width="10.33203125" style="248" customWidth="1"/>
    <col min="1818" max="2025" width="9.33203125" style="248"/>
    <col min="2026" max="2026" width="2.6640625" style="248" customWidth="1"/>
    <col min="2027" max="2027" width="13.33203125" style="248" customWidth="1"/>
    <col min="2028" max="2028" width="60.33203125" style="248" customWidth="1"/>
    <col min="2029" max="2033" width="10.6640625" style="248" bestFit="1" customWidth="1"/>
    <col min="2034" max="2034" width="11.6640625" style="248" bestFit="1" customWidth="1"/>
    <col min="2035" max="2035" width="14.33203125" style="248" bestFit="1" customWidth="1"/>
    <col min="2036" max="2036" width="17.44140625" style="248" bestFit="1" customWidth="1"/>
    <col min="2037" max="2039" width="17.5546875" style="248" bestFit="1" customWidth="1"/>
    <col min="2040" max="2046" width="21" style="248" bestFit="1" customWidth="1"/>
    <col min="2047" max="2054" width="21.33203125" style="248" bestFit="1" customWidth="1"/>
    <col min="2055" max="2055" width="22.6640625" style="248" customWidth="1"/>
    <col min="2056" max="2056" width="22" style="248" customWidth="1"/>
    <col min="2057" max="2057" width="22.6640625" style="248" customWidth="1"/>
    <col min="2058" max="2063" width="21.33203125" style="248" bestFit="1" customWidth="1"/>
    <col min="2064" max="2064" width="19.5546875" style="248" customWidth="1"/>
    <col min="2065" max="2065" width="21.33203125" style="248" bestFit="1" customWidth="1"/>
    <col min="2066" max="2066" width="22.6640625" style="248" customWidth="1"/>
    <col min="2067" max="2067" width="22" style="248" customWidth="1"/>
    <col min="2068" max="2068" width="23.44140625" style="248" bestFit="1" customWidth="1"/>
    <col min="2069" max="2071" width="9.33203125" style="248"/>
    <col min="2072" max="2072" width="11.33203125" style="248" customWidth="1"/>
    <col min="2073" max="2073" width="10.33203125" style="248" customWidth="1"/>
    <col min="2074" max="2281" width="9.33203125" style="248"/>
    <col min="2282" max="2282" width="2.6640625" style="248" customWidth="1"/>
    <col min="2283" max="2283" width="13.33203125" style="248" customWidth="1"/>
    <col min="2284" max="2284" width="60.33203125" style="248" customWidth="1"/>
    <col min="2285" max="2289" width="10.6640625" style="248" bestFit="1" customWidth="1"/>
    <col min="2290" max="2290" width="11.6640625" style="248" bestFit="1" customWidth="1"/>
    <col min="2291" max="2291" width="14.33203125" style="248" bestFit="1" customWidth="1"/>
    <col min="2292" max="2292" width="17.44140625" style="248" bestFit="1" customWidth="1"/>
    <col min="2293" max="2295" width="17.5546875" style="248" bestFit="1" customWidth="1"/>
    <col min="2296" max="2302" width="21" style="248" bestFit="1" customWidth="1"/>
    <col min="2303" max="2310" width="21.33203125" style="248" bestFit="1" customWidth="1"/>
    <col min="2311" max="2311" width="22.6640625" style="248" customWidth="1"/>
    <col min="2312" max="2312" width="22" style="248" customWidth="1"/>
    <col min="2313" max="2313" width="22.6640625" style="248" customWidth="1"/>
    <col min="2314" max="2319" width="21.33203125" style="248" bestFit="1" customWidth="1"/>
    <col min="2320" max="2320" width="19.5546875" style="248" customWidth="1"/>
    <col min="2321" max="2321" width="21.33203125" style="248" bestFit="1" customWidth="1"/>
    <col min="2322" max="2322" width="22.6640625" style="248" customWidth="1"/>
    <col min="2323" max="2323" width="22" style="248" customWidth="1"/>
    <col min="2324" max="2324" width="23.44140625" style="248" bestFit="1" customWidth="1"/>
    <col min="2325" max="2327" width="9.33203125" style="248"/>
    <col min="2328" max="2328" width="11.33203125" style="248" customWidth="1"/>
    <col min="2329" max="2329" width="10.33203125" style="248" customWidth="1"/>
    <col min="2330" max="2537" width="9.33203125" style="248"/>
    <col min="2538" max="2538" width="2.6640625" style="248" customWidth="1"/>
    <col min="2539" max="2539" width="13.33203125" style="248" customWidth="1"/>
    <col min="2540" max="2540" width="60.33203125" style="248" customWidth="1"/>
    <col min="2541" max="2545" width="10.6640625" style="248" bestFit="1" customWidth="1"/>
    <col min="2546" max="2546" width="11.6640625" style="248" bestFit="1" customWidth="1"/>
    <col min="2547" max="2547" width="14.33203125" style="248" bestFit="1" customWidth="1"/>
    <col min="2548" max="2548" width="17.44140625" style="248" bestFit="1" customWidth="1"/>
    <col min="2549" max="2551" width="17.5546875" style="248" bestFit="1" customWidth="1"/>
    <col min="2552" max="2558" width="21" style="248" bestFit="1" customWidth="1"/>
    <col min="2559" max="2566" width="21.33203125" style="248" bestFit="1" customWidth="1"/>
    <col min="2567" max="2567" width="22.6640625" style="248" customWidth="1"/>
    <col min="2568" max="2568" width="22" style="248" customWidth="1"/>
    <col min="2569" max="2569" width="22.6640625" style="248" customWidth="1"/>
    <col min="2570" max="2575" width="21.33203125" style="248" bestFit="1" customWidth="1"/>
    <col min="2576" max="2576" width="19.5546875" style="248" customWidth="1"/>
    <col min="2577" max="2577" width="21.33203125" style="248" bestFit="1" customWidth="1"/>
    <col min="2578" max="2578" width="22.6640625" style="248" customWidth="1"/>
    <col min="2579" max="2579" width="22" style="248" customWidth="1"/>
    <col min="2580" max="2580" width="23.44140625" style="248" bestFit="1" customWidth="1"/>
    <col min="2581" max="2583" width="9.33203125" style="248"/>
    <col min="2584" max="2584" width="11.33203125" style="248" customWidth="1"/>
    <col min="2585" max="2585" width="10.33203125" style="248" customWidth="1"/>
    <col min="2586" max="2793" width="9.33203125" style="248"/>
    <col min="2794" max="2794" width="2.6640625" style="248" customWidth="1"/>
    <col min="2795" max="2795" width="13.33203125" style="248" customWidth="1"/>
    <col min="2796" max="2796" width="60.33203125" style="248" customWidth="1"/>
    <col min="2797" max="2801" width="10.6640625" style="248" bestFit="1" customWidth="1"/>
    <col min="2802" max="2802" width="11.6640625" style="248" bestFit="1" customWidth="1"/>
    <col min="2803" max="2803" width="14.33203125" style="248" bestFit="1" customWidth="1"/>
    <col min="2804" max="2804" width="17.44140625" style="248" bestFit="1" customWidth="1"/>
    <col min="2805" max="2807" width="17.5546875" style="248" bestFit="1" customWidth="1"/>
    <col min="2808" max="2814" width="21" style="248" bestFit="1" customWidth="1"/>
    <col min="2815" max="2822" width="21.33203125" style="248" bestFit="1" customWidth="1"/>
    <col min="2823" max="2823" width="22.6640625" style="248" customWidth="1"/>
    <col min="2824" max="2824" width="22" style="248" customWidth="1"/>
    <col min="2825" max="2825" width="22.6640625" style="248" customWidth="1"/>
    <col min="2826" max="2831" width="21.33203125" style="248" bestFit="1" customWidth="1"/>
    <col min="2832" max="2832" width="19.5546875" style="248" customWidth="1"/>
    <col min="2833" max="2833" width="21.33203125" style="248" bestFit="1" customWidth="1"/>
    <col min="2834" max="2834" width="22.6640625" style="248" customWidth="1"/>
    <col min="2835" max="2835" width="22" style="248" customWidth="1"/>
    <col min="2836" max="2836" width="23.44140625" style="248" bestFit="1" customWidth="1"/>
    <col min="2837" max="2839" width="9.33203125" style="248"/>
    <col min="2840" max="2840" width="11.33203125" style="248" customWidth="1"/>
    <col min="2841" max="2841" width="10.33203125" style="248" customWidth="1"/>
    <col min="2842" max="3049" width="9.33203125" style="248"/>
    <col min="3050" max="3050" width="2.6640625" style="248" customWidth="1"/>
    <col min="3051" max="3051" width="13.33203125" style="248" customWidth="1"/>
    <col min="3052" max="3052" width="60.33203125" style="248" customWidth="1"/>
    <col min="3053" max="3057" width="10.6640625" style="248" bestFit="1" customWidth="1"/>
    <col min="3058" max="3058" width="11.6640625" style="248" bestFit="1" customWidth="1"/>
    <col min="3059" max="3059" width="14.33203125" style="248" bestFit="1" customWidth="1"/>
    <col min="3060" max="3060" width="17.44140625" style="248" bestFit="1" customWidth="1"/>
    <col min="3061" max="3063" width="17.5546875" style="248" bestFit="1" customWidth="1"/>
    <col min="3064" max="3070" width="21" style="248" bestFit="1" customWidth="1"/>
    <col min="3071" max="3078" width="21.33203125" style="248" bestFit="1" customWidth="1"/>
    <col min="3079" max="3079" width="22.6640625" style="248" customWidth="1"/>
    <col min="3080" max="3080" width="22" style="248" customWidth="1"/>
    <col min="3081" max="3081" width="22.6640625" style="248" customWidth="1"/>
    <col min="3082" max="3087" width="21.33203125" style="248" bestFit="1" customWidth="1"/>
    <col min="3088" max="3088" width="19.5546875" style="248" customWidth="1"/>
    <col min="3089" max="3089" width="21.33203125" style="248" bestFit="1" customWidth="1"/>
    <col min="3090" max="3090" width="22.6640625" style="248" customWidth="1"/>
    <col min="3091" max="3091" width="22" style="248" customWidth="1"/>
    <col min="3092" max="3092" width="23.44140625" style="248" bestFit="1" customWidth="1"/>
    <col min="3093" max="3095" width="9.33203125" style="248"/>
    <col min="3096" max="3096" width="11.33203125" style="248" customWidth="1"/>
    <col min="3097" max="3097" width="10.33203125" style="248" customWidth="1"/>
    <col min="3098" max="3305" width="9.33203125" style="248"/>
    <col min="3306" max="3306" width="2.6640625" style="248" customWidth="1"/>
    <col min="3307" max="3307" width="13.33203125" style="248" customWidth="1"/>
    <col min="3308" max="3308" width="60.33203125" style="248" customWidth="1"/>
    <col min="3309" max="3313" width="10.6640625" style="248" bestFit="1" customWidth="1"/>
    <col min="3314" max="3314" width="11.6640625" style="248" bestFit="1" customWidth="1"/>
    <col min="3315" max="3315" width="14.33203125" style="248" bestFit="1" customWidth="1"/>
    <col min="3316" max="3316" width="17.44140625" style="248" bestFit="1" customWidth="1"/>
    <col min="3317" max="3319" width="17.5546875" style="248" bestFit="1" customWidth="1"/>
    <col min="3320" max="3326" width="21" style="248" bestFit="1" customWidth="1"/>
    <col min="3327" max="3334" width="21.33203125" style="248" bestFit="1" customWidth="1"/>
    <col min="3335" max="3335" width="22.6640625" style="248" customWidth="1"/>
    <col min="3336" max="3336" width="22" style="248" customWidth="1"/>
    <col min="3337" max="3337" width="22.6640625" style="248" customWidth="1"/>
    <col min="3338" max="3343" width="21.33203125" style="248" bestFit="1" customWidth="1"/>
    <col min="3344" max="3344" width="19.5546875" style="248" customWidth="1"/>
    <col min="3345" max="3345" width="21.33203125" style="248" bestFit="1" customWidth="1"/>
    <col min="3346" max="3346" width="22.6640625" style="248" customWidth="1"/>
    <col min="3347" max="3347" width="22" style="248" customWidth="1"/>
    <col min="3348" max="3348" width="23.44140625" style="248" bestFit="1" customWidth="1"/>
    <col min="3349" max="3351" width="9.33203125" style="248"/>
    <col min="3352" max="3352" width="11.33203125" style="248" customWidth="1"/>
    <col min="3353" max="3353" width="10.33203125" style="248" customWidth="1"/>
    <col min="3354" max="3561" width="9.33203125" style="248"/>
    <col min="3562" max="3562" width="2.6640625" style="248" customWidth="1"/>
    <col min="3563" max="3563" width="13.33203125" style="248" customWidth="1"/>
    <col min="3564" max="3564" width="60.33203125" style="248" customWidth="1"/>
    <col min="3565" max="3569" width="10.6640625" style="248" bestFit="1" customWidth="1"/>
    <col min="3570" max="3570" width="11.6640625" style="248" bestFit="1" customWidth="1"/>
    <col min="3571" max="3571" width="14.33203125" style="248" bestFit="1" customWidth="1"/>
    <col min="3572" max="3572" width="17.44140625" style="248" bestFit="1" customWidth="1"/>
    <col min="3573" max="3575" width="17.5546875" style="248" bestFit="1" customWidth="1"/>
    <col min="3576" max="3582" width="21" style="248" bestFit="1" customWidth="1"/>
    <col min="3583" max="3590" width="21.33203125" style="248" bestFit="1" customWidth="1"/>
    <col min="3591" max="3591" width="22.6640625" style="248" customWidth="1"/>
    <col min="3592" max="3592" width="22" style="248" customWidth="1"/>
    <col min="3593" max="3593" width="22.6640625" style="248" customWidth="1"/>
    <col min="3594" max="3599" width="21.33203125" style="248" bestFit="1" customWidth="1"/>
    <col min="3600" max="3600" width="19.5546875" style="248" customWidth="1"/>
    <col min="3601" max="3601" width="21.33203125" style="248" bestFit="1" customWidth="1"/>
    <col min="3602" max="3602" width="22.6640625" style="248" customWidth="1"/>
    <col min="3603" max="3603" width="22" style="248" customWidth="1"/>
    <col min="3604" max="3604" width="23.44140625" style="248" bestFit="1" customWidth="1"/>
    <col min="3605" max="3607" width="9.33203125" style="248"/>
    <col min="3608" max="3608" width="11.33203125" style="248" customWidth="1"/>
    <col min="3609" max="3609" width="10.33203125" style="248" customWidth="1"/>
    <col min="3610" max="3817" width="9.33203125" style="248"/>
    <col min="3818" max="3818" width="2.6640625" style="248" customWidth="1"/>
    <col min="3819" max="3819" width="13.33203125" style="248" customWidth="1"/>
    <col min="3820" max="3820" width="60.33203125" style="248" customWidth="1"/>
    <col min="3821" max="3825" width="10.6640625" style="248" bestFit="1" customWidth="1"/>
    <col min="3826" max="3826" width="11.6640625" style="248" bestFit="1" customWidth="1"/>
    <col min="3827" max="3827" width="14.33203125" style="248" bestFit="1" customWidth="1"/>
    <col min="3828" max="3828" width="17.44140625" style="248" bestFit="1" customWidth="1"/>
    <col min="3829" max="3831" width="17.5546875" style="248" bestFit="1" customWidth="1"/>
    <col min="3832" max="3838" width="21" style="248" bestFit="1" customWidth="1"/>
    <col min="3839" max="3846" width="21.33203125" style="248" bestFit="1" customWidth="1"/>
    <col min="3847" max="3847" width="22.6640625" style="248" customWidth="1"/>
    <col min="3848" max="3848" width="22" style="248" customWidth="1"/>
    <col min="3849" max="3849" width="22.6640625" style="248" customWidth="1"/>
    <col min="3850" max="3855" width="21.33203125" style="248" bestFit="1" customWidth="1"/>
    <col min="3856" max="3856" width="19.5546875" style="248" customWidth="1"/>
    <col min="3857" max="3857" width="21.33203125" style="248" bestFit="1" customWidth="1"/>
    <col min="3858" max="3858" width="22.6640625" style="248" customWidth="1"/>
    <col min="3859" max="3859" width="22" style="248" customWidth="1"/>
    <col min="3860" max="3860" width="23.44140625" style="248" bestFit="1" customWidth="1"/>
    <col min="3861" max="3863" width="9.33203125" style="248"/>
    <col min="3864" max="3864" width="11.33203125" style="248" customWidth="1"/>
    <col min="3865" max="3865" width="10.33203125" style="248" customWidth="1"/>
    <col min="3866" max="4073" width="9.33203125" style="248"/>
    <col min="4074" max="4074" width="2.6640625" style="248" customWidth="1"/>
    <col min="4075" max="4075" width="13.33203125" style="248" customWidth="1"/>
    <col min="4076" max="4076" width="60.33203125" style="248" customWidth="1"/>
    <col min="4077" max="4081" width="10.6640625" style="248" bestFit="1" customWidth="1"/>
    <col min="4082" max="4082" width="11.6640625" style="248" bestFit="1" customWidth="1"/>
    <col min="4083" max="4083" width="14.33203125" style="248" bestFit="1" customWidth="1"/>
    <col min="4084" max="4084" width="17.44140625" style="248" bestFit="1" customWidth="1"/>
    <col min="4085" max="4087" width="17.5546875" style="248" bestFit="1" customWidth="1"/>
    <col min="4088" max="4094" width="21" style="248" bestFit="1" customWidth="1"/>
    <col min="4095" max="4102" width="21.33203125" style="248" bestFit="1" customWidth="1"/>
    <col min="4103" max="4103" width="22.6640625" style="248" customWidth="1"/>
    <col min="4104" max="4104" width="22" style="248" customWidth="1"/>
    <col min="4105" max="4105" width="22.6640625" style="248" customWidth="1"/>
    <col min="4106" max="4111" width="21.33203125" style="248" bestFit="1" customWidth="1"/>
    <col min="4112" max="4112" width="19.5546875" style="248" customWidth="1"/>
    <col min="4113" max="4113" width="21.33203125" style="248" bestFit="1" customWidth="1"/>
    <col min="4114" max="4114" width="22.6640625" style="248" customWidth="1"/>
    <col min="4115" max="4115" width="22" style="248" customWidth="1"/>
    <col min="4116" max="4116" width="23.44140625" style="248" bestFit="1" customWidth="1"/>
    <col min="4117" max="4119" width="9.33203125" style="248"/>
    <col min="4120" max="4120" width="11.33203125" style="248" customWidth="1"/>
    <col min="4121" max="4121" width="10.33203125" style="248" customWidth="1"/>
    <col min="4122" max="4329" width="9.33203125" style="248"/>
    <col min="4330" max="4330" width="2.6640625" style="248" customWidth="1"/>
    <col min="4331" max="4331" width="13.33203125" style="248" customWidth="1"/>
    <col min="4332" max="4332" width="60.33203125" style="248" customWidth="1"/>
    <col min="4333" max="4337" width="10.6640625" style="248" bestFit="1" customWidth="1"/>
    <col min="4338" max="4338" width="11.6640625" style="248" bestFit="1" customWidth="1"/>
    <col min="4339" max="4339" width="14.33203125" style="248" bestFit="1" customWidth="1"/>
    <col min="4340" max="4340" width="17.44140625" style="248" bestFit="1" customWidth="1"/>
    <col min="4341" max="4343" width="17.5546875" style="248" bestFit="1" customWidth="1"/>
    <col min="4344" max="4350" width="21" style="248" bestFit="1" customWidth="1"/>
    <col min="4351" max="4358" width="21.33203125" style="248" bestFit="1" customWidth="1"/>
    <col min="4359" max="4359" width="22.6640625" style="248" customWidth="1"/>
    <col min="4360" max="4360" width="22" style="248" customWidth="1"/>
    <col min="4361" max="4361" width="22.6640625" style="248" customWidth="1"/>
    <col min="4362" max="4367" width="21.33203125" style="248" bestFit="1" customWidth="1"/>
    <col min="4368" max="4368" width="19.5546875" style="248" customWidth="1"/>
    <col min="4369" max="4369" width="21.33203125" style="248" bestFit="1" customWidth="1"/>
    <col min="4370" max="4370" width="22.6640625" style="248" customWidth="1"/>
    <col min="4371" max="4371" width="22" style="248" customWidth="1"/>
    <col min="4372" max="4372" width="23.44140625" style="248" bestFit="1" customWidth="1"/>
    <col min="4373" max="4375" width="9.33203125" style="248"/>
    <col min="4376" max="4376" width="11.33203125" style="248" customWidth="1"/>
    <col min="4377" max="4377" width="10.33203125" style="248" customWidth="1"/>
    <col min="4378" max="4585" width="9.33203125" style="248"/>
    <col min="4586" max="4586" width="2.6640625" style="248" customWidth="1"/>
    <col min="4587" max="4587" width="13.33203125" style="248" customWidth="1"/>
    <col min="4588" max="4588" width="60.33203125" style="248" customWidth="1"/>
    <col min="4589" max="4593" width="10.6640625" style="248" bestFit="1" customWidth="1"/>
    <col min="4594" max="4594" width="11.6640625" style="248" bestFit="1" customWidth="1"/>
    <col min="4595" max="4595" width="14.33203125" style="248" bestFit="1" customWidth="1"/>
    <col min="4596" max="4596" width="17.44140625" style="248" bestFit="1" customWidth="1"/>
    <col min="4597" max="4599" width="17.5546875" style="248" bestFit="1" customWidth="1"/>
    <col min="4600" max="4606" width="21" style="248" bestFit="1" customWidth="1"/>
    <col min="4607" max="4614" width="21.33203125" style="248" bestFit="1" customWidth="1"/>
    <col min="4615" max="4615" width="22.6640625" style="248" customWidth="1"/>
    <col min="4616" max="4616" width="22" style="248" customWidth="1"/>
    <col min="4617" max="4617" width="22.6640625" style="248" customWidth="1"/>
    <col min="4618" max="4623" width="21.33203125" style="248" bestFit="1" customWidth="1"/>
    <col min="4624" max="4624" width="19.5546875" style="248" customWidth="1"/>
    <col min="4625" max="4625" width="21.33203125" style="248" bestFit="1" customWidth="1"/>
    <col min="4626" max="4626" width="22.6640625" style="248" customWidth="1"/>
    <col min="4627" max="4627" width="22" style="248" customWidth="1"/>
    <col min="4628" max="4628" width="23.44140625" style="248" bestFit="1" customWidth="1"/>
    <col min="4629" max="4631" width="9.33203125" style="248"/>
    <col min="4632" max="4632" width="11.33203125" style="248" customWidth="1"/>
    <col min="4633" max="4633" width="10.33203125" style="248" customWidth="1"/>
    <col min="4634" max="4841" width="9.33203125" style="248"/>
    <col min="4842" max="4842" width="2.6640625" style="248" customWidth="1"/>
    <col min="4843" max="4843" width="13.33203125" style="248" customWidth="1"/>
    <col min="4844" max="4844" width="60.33203125" style="248" customWidth="1"/>
    <col min="4845" max="4849" width="10.6640625" style="248" bestFit="1" customWidth="1"/>
    <col min="4850" max="4850" width="11.6640625" style="248" bestFit="1" customWidth="1"/>
    <col min="4851" max="4851" width="14.33203125" style="248" bestFit="1" customWidth="1"/>
    <col min="4852" max="4852" width="17.44140625" style="248" bestFit="1" customWidth="1"/>
    <col min="4853" max="4855" width="17.5546875" style="248" bestFit="1" customWidth="1"/>
    <col min="4856" max="4862" width="21" style="248" bestFit="1" customWidth="1"/>
    <col min="4863" max="4870" width="21.33203125" style="248" bestFit="1" customWidth="1"/>
    <col min="4871" max="4871" width="22.6640625" style="248" customWidth="1"/>
    <col min="4872" max="4872" width="22" style="248" customWidth="1"/>
    <col min="4873" max="4873" width="22.6640625" style="248" customWidth="1"/>
    <col min="4874" max="4879" width="21.33203125" style="248" bestFit="1" customWidth="1"/>
    <col min="4880" max="4880" width="19.5546875" style="248" customWidth="1"/>
    <col min="4881" max="4881" width="21.33203125" style="248" bestFit="1" customWidth="1"/>
    <col min="4882" max="4882" width="22.6640625" style="248" customWidth="1"/>
    <col min="4883" max="4883" width="22" style="248" customWidth="1"/>
    <col min="4884" max="4884" width="23.44140625" style="248" bestFit="1" customWidth="1"/>
    <col min="4885" max="4887" width="9.33203125" style="248"/>
    <col min="4888" max="4888" width="11.33203125" style="248" customWidth="1"/>
    <col min="4889" max="4889" width="10.33203125" style="248" customWidth="1"/>
    <col min="4890" max="5097" width="9.33203125" style="248"/>
    <col min="5098" max="5098" width="2.6640625" style="248" customWidth="1"/>
    <col min="5099" max="5099" width="13.33203125" style="248" customWidth="1"/>
    <col min="5100" max="5100" width="60.33203125" style="248" customWidth="1"/>
    <col min="5101" max="5105" width="10.6640625" style="248" bestFit="1" customWidth="1"/>
    <col min="5106" max="5106" width="11.6640625" style="248" bestFit="1" customWidth="1"/>
    <col min="5107" max="5107" width="14.33203125" style="248" bestFit="1" customWidth="1"/>
    <col min="5108" max="5108" width="17.44140625" style="248" bestFit="1" customWidth="1"/>
    <col min="5109" max="5111" width="17.5546875" style="248" bestFit="1" customWidth="1"/>
    <col min="5112" max="5118" width="21" style="248" bestFit="1" customWidth="1"/>
    <col min="5119" max="5126" width="21.33203125" style="248" bestFit="1" customWidth="1"/>
    <col min="5127" max="5127" width="22.6640625" style="248" customWidth="1"/>
    <col min="5128" max="5128" width="22" style="248" customWidth="1"/>
    <col min="5129" max="5129" width="22.6640625" style="248" customWidth="1"/>
    <col min="5130" max="5135" width="21.33203125" style="248" bestFit="1" customWidth="1"/>
    <col min="5136" max="5136" width="19.5546875" style="248" customWidth="1"/>
    <col min="5137" max="5137" width="21.33203125" style="248" bestFit="1" customWidth="1"/>
    <col min="5138" max="5138" width="22.6640625" style="248" customWidth="1"/>
    <col min="5139" max="5139" width="22" style="248" customWidth="1"/>
    <col min="5140" max="5140" width="23.44140625" style="248" bestFit="1" customWidth="1"/>
    <col min="5141" max="5143" width="9.33203125" style="248"/>
    <col min="5144" max="5144" width="11.33203125" style="248" customWidth="1"/>
    <col min="5145" max="5145" width="10.33203125" style="248" customWidth="1"/>
    <col min="5146" max="5353" width="9.33203125" style="248"/>
    <col min="5354" max="5354" width="2.6640625" style="248" customWidth="1"/>
    <col min="5355" max="5355" width="13.33203125" style="248" customWidth="1"/>
    <col min="5356" max="5356" width="60.33203125" style="248" customWidth="1"/>
    <col min="5357" max="5361" width="10.6640625" style="248" bestFit="1" customWidth="1"/>
    <col min="5362" max="5362" width="11.6640625" style="248" bestFit="1" customWidth="1"/>
    <col min="5363" max="5363" width="14.33203125" style="248" bestFit="1" customWidth="1"/>
    <col min="5364" max="5364" width="17.44140625" style="248" bestFit="1" customWidth="1"/>
    <col min="5365" max="5367" width="17.5546875" style="248" bestFit="1" customWidth="1"/>
    <col min="5368" max="5374" width="21" style="248" bestFit="1" customWidth="1"/>
    <col min="5375" max="5382" width="21.33203125" style="248" bestFit="1" customWidth="1"/>
    <col min="5383" max="5383" width="22.6640625" style="248" customWidth="1"/>
    <col min="5384" max="5384" width="22" style="248" customWidth="1"/>
    <col min="5385" max="5385" width="22.6640625" style="248" customWidth="1"/>
    <col min="5386" max="5391" width="21.33203125" style="248" bestFit="1" customWidth="1"/>
    <col min="5392" max="5392" width="19.5546875" style="248" customWidth="1"/>
    <col min="5393" max="5393" width="21.33203125" style="248" bestFit="1" customWidth="1"/>
    <col min="5394" max="5394" width="22.6640625" style="248" customWidth="1"/>
    <col min="5395" max="5395" width="22" style="248" customWidth="1"/>
    <col min="5396" max="5396" width="23.44140625" style="248" bestFit="1" customWidth="1"/>
    <col min="5397" max="5399" width="9.33203125" style="248"/>
    <col min="5400" max="5400" width="11.33203125" style="248" customWidth="1"/>
    <col min="5401" max="5401" width="10.33203125" style="248" customWidth="1"/>
    <col min="5402" max="5609" width="9.33203125" style="248"/>
    <col min="5610" max="5610" width="2.6640625" style="248" customWidth="1"/>
    <col min="5611" max="5611" width="13.33203125" style="248" customWidth="1"/>
    <col min="5612" max="5612" width="60.33203125" style="248" customWidth="1"/>
    <col min="5613" max="5617" width="10.6640625" style="248" bestFit="1" customWidth="1"/>
    <col min="5618" max="5618" width="11.6640625" style="248" bestFit="1" customWidth="1"/>
    <col min="5619" max="5619" width="14.33203125" style="248" bestFit="1" customWidth="1"/>
    <col min="5620" max="5620" width="17.44140625" style="248" bestFit="1" customWidth="1"/>
    <col min="5621" max="5623" width="17.5546875" style="248" bestFit="1" customWidth="1"/>
    <col min="5624" max="5630" width="21" style="248" bestFit="1" customWidth="1"/>
    <col min="5631" max="5638" width="21.33203125" style="248" bestFit="1" customWidth="1"/>
    <col min="5639" max="5639" width="22.6640625" style="248" customWidth="1"/>
    <col min="5640" max="5640" width="22" style="248" customWidth="1"/>
    <col min="5641" max="5641" width="22.6640625" style="248" customWidth="1"/>
    <col min="5642" max="5647" width="21.33203125" style="248" bestFit="1" customWidth="1"/>
    <col min="5648" max="5648" width="19.5546875" style="248" customWidth="1"/>
    <col min="5649" max="5649" width="21.33203125" style="248" bestFit="1" customWidth="1"/>
    <col min="5650" max="5650" width="22.6640625" style="248" customWidth="1"/>
    <col min="5651" max="5651" width="22" style="248" customWidth="1"/>
    <col min="5652" max="5652" width="23.44140625" style="248" bestFit="1" customWidth="1"/>
    <col min="5653" max="5655" width="9.33203125" style="248"/>
    <col min="5656" max="5656" width="11.33203125" style="248" customWidth="1"/>
    <col min="5657" max="5657" width="10.33203125" style="248" customWidth="1"/>
    <col min="5658" max="5865" width="9.33203125" style="248"/>
    <col min="5866" max="5866" width="2.6640625" style="248" customWidth="1"/>
    <col min="5867" max="5867" width="13.33203125" style="248" customWidth="1"/>
    <col min="5868" max="5868" width="60.33203125" style="248" customWidth="1"/>
    <col min="5869" max="5873" width="10.6640625" style="248" bestFit="1" customWidth="1"/>
    <col min="5874" max="5874" width="11.6640625" style="248" bestFit="1" customWidth="1"/>
    <col min="5875" max="5875" width="14.33203125" style="248" bestFit="1" customWidth="1"/>
    <col min="5876" max="5876" width="17.44140625" style="248" bestFit="1" customWidth="1"/>
    <col min="5877" max="5879" width="17.5546875" style="248" bestFit="1" customWidth="1"/>
    <col min="5880" max="5886" width="21" style="248" bestFit="1" customWidth="1"/>
    <col min="5887" max="5894" width="21.33203125" style="248" bestFit="1" customWidth="1"/>
    <col min="5895" max="5895" width="22.6640625" style="248" customWidth="1"/>
    <col min="5896" max="5896" width="22" style="248" customWidth="1"/>
    <col min="5897" max="5897" width="22.6640625" style="248" customWidth="1"/>
    <col min="5898" max="5903" width="21.33203125" style="248" bestFit="1" customWidth="1"/>
    <col min="5904" max="5904" width="19.5546875" style="248" customWidth="1"/>
    <col min="5905" max="5905" width="21.33203125" style="248" bestFit="1" customWidth="1"/>
    <col min="5906" max="5906" width="22.6640625" style="248" customWidth="1"/>
    <col min="5907" max="5907" width="22" style="248" customWidth="1"/>
    <col min="5908" max="5908" width="23.44140625" style="248" bestFit="1" customWidth="1"/>
    <col min="5909" max="5911" width="9.33203125" style="248"/>
    <col min="5912" max="5912" width="11.33203125" style="248" customWidth="1"/>
    <col min="5913" max="5913" width="10.33203125" style="248" customWidth="1"/>
    <col min="5914" max="6121" width="9.33203125" style="248"/>
    <col min="6122" max="6122" width="2.6640625" style="248" customWidth="1"/>
    <col min="6123" max="6123" width="13.33203125" style="248" customWidth="1"/>
    <col min="6124" max="6124" width="60.33203125" style="248" customWidth="1"/>
    <col min="6125" max="6129" width="10.6640625" style="248" bestFit="1" customWidth="1"/>
    <col min="6130" max="6130" width="11.6640625" style="248" bestFit="1" customWidth="1"/>
    <col min="6131" max="6131" width="14.33203125" style="248" bestFit="1" customWidth="1"/>
    <col min="6132" max="6132" width="17.44140625" style="248" bestFit="1" customWidth="1"/>
    <col min="6133" max="6135" width="17.5546875" style="248" bestFit="1" customWidth="1"/>
    <col min="6136" max="6142" width="21" style="248" bestFit="1" customWidth="1"/>
    <col min="6143" max="6150" width="21.33203125" style="248" bestFit="1" customWidth="1"/>
    <col min="6151" max="6151" width="22.6640625" style="248" customWidth="1"/>
    <col min="6152" max="6152" width="22" style="248" customWidth="1"/>
    <col min="6153" max="6153" width="22.6640625" style="248" customWidth="1"/>
    <col min="6154" max="6159" width="21.33203125" style="248" bestFit="1" customWidth="1"/>
    <col min="6160" max="6160" width="19.5546875" style="248" customWidth="1"/>
    <col min="6161" max="6161" width="21.33203125" style="248" bestFit="1" customWidth="1"/>
    <col min="6162" max="6162" width="22.6640625" style="248" customWidth="1"/>
    <col min="6163" max="6163" width="22" style="248" customWidth="1"/>
    <col min="6164" max="6164" width="23.44140625" style="248" bestFit="1" customWidth="1"/>
    <col min="6165" max="6167" width="9.33203125" style="248"/>
    <col min="6168" max="6168" width="11.33203125" style="248" customWidth="1"/>
    <col min="6169" max="6169" width="10.33203125" style="248" customWidth="1"/>
    <col min="6170" max="6377" width="9.33203125" style="248"/>
    <col min="6378" max="6378" width="2.6640625" style="248" customWidth="1"/>
    <col min="6379" max="6379" width="13.33203125" style="248" customWidth="1"/>
    <col min="6380" max="6380" width="60.33203125" style="248" customWidth="1"/>
    <col min="6381" max="6385" width="10.6640625" style="248" bestFit="1" customWidth="1"/>
    <col min="6386" max="6386" width="11.6640625" style="248" bestFit="1" customWidth="1"/>
    <col min="6387" max="6387" width="14.33203125" style="248" bestFit="1" customWidth="1"/>
    <col min="6388" max="6388" width="17.44140625" style="248" bestFit="1" customWidth="1"/>
    <col min="6389" max="6391" width="17.5546875" style="248" bestFit="1" customWidth="1"/>
    <col min="6392" max="6398" width="21" style="248" bestFit="1" customWidth="1"/>
    <col min="6399" max="6406" width="21.33203125" style="248" bestFit="1" customWidth="1"/>
    <col min="6407" max="6407" width="22.6640625" style="248" customWidth="1"/>
    <col min="6408" max="6408" width="22" style="248" customWidth="1"/>
    <col min="6409" max="6409" width="22.6640625" style="248" customWidth="1"/>
    <col min="6410" max="6415" width="21.33203125" style="248" bestFit="1" customWidth="1"/>
    <col min="6416" max="6416" width="19.5546875" style="248" customWidth="1"/>
    <col min="6417" max="6417" width="21.33203125" style="248" bestFit="1" customWidth="1"/>
    <col min="6418" max="6418" width="22.6640625" style="248" customWidth="1"/>
    <col min="6419" max="6419" width="22" style="248" customWidth="1"/>
    <col min="6420" max="6420" width="23.44140625" style="248" bestFit="1" customWidth="1"/>
    <col min="6421" max="6423" width="9.33203125" style="248"/>
    <col min="6424" max="6424" width="11.33203125" style="248" customWidth="1"/>
    <col min="6425" max="6425" width="10.33203125" style="248" customWidth="1"/>
    <col min="6426" max="6633" width="9.33203125" style="248"/>
    <col min="6634" max="6634" width="2.6640625" style="248" customWidth="1"/>
    <col min="6635" max="6635" width="13.33203125" style="248" customWidth="1"/>
    <col min="6636" max="6636" width="60.33203125" style="248" customWidth="1"/>
    <col min="6637" max="6641" width="10.6640625" style="248" bestFit="1" customWidth="1"/>
    <col min="6642" max="6642" width="11.6640625" style="248" bestFit="1" customWidth="1"/>
    <col min="6643" max="6643" width="14.33203125" style="248" bestFit="1" customWidth="1"/>
    <col min="6644" max="6644" width="17.44140625" style="248" bestFit="1" customWidth="1"/>
    <col min="6645" max="6647" width="17.5546875" style="248" bestFit="1" customWidth="1"/>
    <col min="6648" max="6654" width="21" style="248" bestFit="1" customWidth="1"/>
    <col min="6655" max="6662" width="21.33203125" style="248" bestFit="1" customWidth="1"/>
    <col min="6663" max="6663" width="22.6640625" style="248" customWidth="1"/>
    <col min="6664" max="6664" width="22" style="248" customWidth="1"/>
    <col min="6665" max="6665" width="22.6640625" style="248" customWidth="1"/>
    <col min="6666" max="6671" width="21.33203125" style="248" bestFit="1" customWidth="1"/>
    <col min="6672" max="6672" width="19.5546875" style="248" customWidth="1"/>
    <col min="6673" max="6673" width="21.33203125" style="248" bestFit="1" customWidth="1"/>
    <col min="6674" max="6674" width="22.6640625" style="248" customWidth="1"/>
    <col min="6675" max="6675" width="22" style="248" customWidth="1"/>
    <col min="6676" max="6676" width="23.44140625" style="248" bestFit="1" customWidth="1"/>
    <col min="6677" max="6679" width="9.33203125" style="248"/>
    <col min="6680" max="6680" width="11.33203125" style="248" customWidth="1"/>
    <col min="6681" max="6681" width="10.33203125" style="248" customWidth="1"/>
    <col min="6682" max="6889" width="9.33203125" style="248"/>
    <col min="6890" max="6890" width="2.6640625" style="248" customWidth="1"/>
    <col min="6891" max="6891" width="13.33203125" style="248" customWidth="1"/>
    <col min="6892" max="6892" width="60.33203125" style="248" customWidth="1"/>
    <col min="6893" max="6897" width="10.6640625" style="248" bestFit="1" customWidth="1"/>
    <col min="6898" max="6898" width="11.6640625" style="248" bestFit="1" customWidth="1"/>
    <col min="6899" max="6899" width="14.33203125" style="248" bestFit="1" customWidth="1"/>
    <col min="6900" max="6900" width="17.44140625" style="248" bestFit="1" customWidth="1"/>
    <col min="6901" max="6903" width="17.5546875" style="248" bestFit="1" customWidth="1"/>
    <col min="6904" max="6910" width="21" style="248" bestFit="1" customWidth="1"/>
    <col min="6911" max="6918" width="21.33203125" style="248" bestFit="1" customWidth="1"/>
    <col min="6919" max="6919" width="22.6640625" style="248" customWidth="1"/>
    <col min="6920" max="6920" width="22" style="248" customWidth="1"/>
    <col min="6921" max="6921" width="22.6640625" style="248" customWidth="1"/>
    <col min="6922" max="6927" width="21.33203125" style="248" bestFit="1" customWidth="1"/>
    <col min="6928" max="6928" width="19.5546875" style="248" customWidth="1"/>
    <col min="6929" max="6929" width="21.33203125" style="248" bestFit="1" customWidth="1"/>
    <col min="6930" max="6930" width="22.6640625" style="248" customWidth="1"/>
    <col min="6931" max="6931" width="22" style="248" customWidth="1"/>
    <col min="6932" max="6932" width="23.44140625" style="248" bestFit="1" customWidth="1"/>
    <col min="6933" max="6935" width="9.33203125" style="248"/>
    <col min="6936" max="6936" width="11.33203125" style="248" customWidth="1"/>
    <col min="6937" max="6937" width="10.33203125" style="248" customWidth="1"/>
    <col min="6938" max="7145" width="9.33203125" style="248"/>
    <col min="7146" max="7146" width="2.6640625" style="248" customWidth="1"/>
    <col min="7147" max="7147" width="13.33203125" style="248" customWidth="1"/>
    <col min="7148" max="7148" width="60.33203125" style="248" customWidth="1"/>
    <col min="7149" max="7153" width="10.6640625" style="248" bestFit="1" customWidth="1"/>
    <col min="7154" max="7154" width="11.6640625" style="248" bestFit="1" customWidth="1"/>
    <col min="7155" max="7155" width="14.33203125" style="248" bestFit="1" customWidth="1"/>
    <col min="7156" max="7156" width="17.44140625" style="248" bestFit="1" customWidth="1"/>
    <col min="7157" max="7159" width="17.5546875" style="248" bestFit="1" customWidth="1"/>
    <col min="7160" max="7166" width="21" style="248" bestFit="1" customWidth="1"/>
    <col min="7167" max="7174" width="21.33203125" style="248" bestFit="1" customWidth="1"/>
    <col min="7175" max="7175" width="22.6640625" style="248" customWidth="1"/>
    <col min="7176" max="7176" width="22" style="248" customWidth="1"/>
    <col min="7177" max="7177" width="22.6640625" style="248" customWidth="1"/>
    <col min="7178" max="7183" width="21.33203125" style="248" bestFit="1" customWidth="1"/>
    <col min="7184" max="7184" width="19.5546875" style="248" customWidth="1"/>
    <col min="7185" max="7185" width="21.33203125" style="248" bestFit="1" customWidth="1"/>
    <col min="7186" max="7186" width="22.6640625" style="248" customWidth="1"/>
    <col min="7187" max="7187" width="22" style="248" customWidth="1"/>
    <col min="7188" max="7188" width="23.44140625" style="248" bestFit="1" customWidth="1"/>
    <col min="7189" max="7191" width="9.33203125" style="248"/>
    <col min="7192" max="7192" width="11.33203125" style="248" customWidth="1"/>
    <col min="7193" max="7193" width="10.33203125" style="248" customWidth="1"/>
    <col min="7194" max="7401" width="9.33203125" style="248"/>
    <col min="7402" max="7402" width="2.6640625" style="248" customWidth="1"/>
    <col min="7403" max="7403" width="13.33203125" style="248" customWidth="1"/>
    <col min="7404" max="7404" width="60.33203125" style="248" customWidth="1"/>
    <col min="7405" max="7409" width="10.6640625" style="248" bestFit="1" customWidth="1"/>
    <col min="7410" max="7410" width="11.6640625" style="248" bestFit="1" customWidth="1"/>
    <col min="7411" max="7411" width="14.33203125" style="248" bestFit="1" customWidth="1"/>
    <col min="7412" max="7412" width="17.44140625" style="248" bestFit="1" customWidth="1"/>
    <col min="7413" max="7415" width="17.5546875" style="248" bestFit="1" customWidth="1"/>
    <col min="7416" max="7422" width="21" style="248" bestFit="1" customWidth="1"/>
    <col min="7423" max="7430" width="21.33203125" style="248" bestFit="1" customWidth="1"/>
    <col min="7431" max="7431" width="22.6640625" style="248" customWidth="1"/>
    <col min="7432" max="7432" width="22" style="248" customWidth="1"/>
    <col min="7433" max="7433" width="22.6640625" style="248" customWidth="1"/>
    <col min="7434" max="7439" width="21.33203125" style="248" bestFit="1" customWidth="1"/>
    <col min="7440" max="7440" width="19.5546875" style="248" customWidth="1"/>
    <col min="7441" max="7441" width="21.33203125" style="248" bestFit="1" customWidth="1"/>
    <col min="7442" max="7442" width="22.6640625" style="248" customWidth="1"/>
    <col min="7443" max="7443" width="22" style="248" customWidth="1"/>
    <col min="7444" max="7444" width="23.44140625" style="248" bestFit="1" customWidth="1"/>
    <col min="7445" max="7447" width="9.33203125" style="248"/>
    <col min="7448" max="7448" width="11.33203125" style="248" customWidth="1"/>
    <col min="7449" max="7449" width="10.33203125" style="248" customWidth="1"/>
    <col min="7450" max="7657" width="9.33203125" style="248"/>
    <col min="7658" max="7658" width="2.6640625" style="248" customWidth="1"/>
    <col min="7659" max="7659" width="13.33203125" style="248" customWidth="1"/>
    <col min="7660" max="7660" width="60.33203125" style="248" customWidth="1"/>
    <col min="7661" max="7665" width="10.6640625" style="248" bestFit="1" customWidth="1"/>
    <col min="7666" max="7666" width="11.6640625" style="248" bestFit="1" customWidth="1"/>
    <col min="7667" max="7667" width="14.33203125" style="248" bestFit="1" customWidth="1"/>
    <col min="7668" max="7668" width="17.44140625" style="248" bestFit="1" customWidth="1"/>
    <col min="7669" max="7671" width="17.5546875" style="248" bestFit="1" customWidth="1"/>
    <col min="7672" max="7678" width="21" style="248" bestFit="1" customWidth="1"/>
    <col min="7679" max="7686" width="21.33203125" style="248" bestFit="1" customWidth="1"/>
    <col min="7687" max="7687" width="22.6640625" style="248" customWidth="1"/>
    <col min="7688" max="7688" width="22" style="248" customWidth="1"/>
    <col min="7689" max="7689" width="22.6640625" style="248" customWidth="1"/>
    <col min="7690" max="7695" width="21.33203125" style="248" bestFit="1" customWidth="1"/>
    <col min="7696" max="7696" width="19.5546875" style="248" customWidth="1"/>
    <col min="7697" max="7697" width="21.33203125" style="248" bestFit="1" customWidth="1"/>
    <col min="7698" max="7698" width="22.6640625" style="248" customWidth="1"/>
    <col min="7699" max="7699" width="22" style="248" customWidth="1"/>
    <col min="7700" max="7700" width="23.44140625" style="248" bestFit="1" customWidth="1"/>
    <col min="7701" max="7703" width="9.33203125" style="248"/>
    <col min="7704" max="7704" width="11.33203125" style="248" customWidth="1"/>
    <col min="7705" max="7705" width="10.33203125" style="248" customWidth="1"/>
    <col min="7706" max="7913" width="9.33203125" style="248"/>
    <col min="7914" max="7914" width="2.6640625" style="248" customWidth="1"/>
    <col min="7915" max="7915" width="13.33203125" style="248" customWidth="1"/>
    <col min="7916" max="7916" width="60.33203125" style="248" customWidth="1"/>
    <col min="7917" max="7921" width="10.6640625" style="248" bestFit="1" customWidth="1"/>
    <col min="7922" max="7922" width="11.6640625" style="248" bestFit="1" customWidth="1"/>
    <col min="7923" max="7923" width="14.33203125" style="248" bestFit="1" customWidth="1"/>
    <col min="7924" max="7924" width="17.44140625" style="248" bestFit="1" customWidth="1"/>
    <col min="7925" max="7927" width="17.5546875" style="248" bestFit="1" customWidth="1"/>
    <col min="7928" max="7934" width="21" style="248" bestFit="1" customWidth="1"/>
    <col min="7935" max="7942" width="21.33203125" style="248" bestFit="1" customWidth="1"/>
    <col min="7943" max="7943" width="22.6640625" style="248" customWidth="1"/>
    <col min="7944" max="7944" width="22" style="248" customWidth="1"/>
    <col min="7945" max="7945" width="22.6640625" style="248" customWidth="1"/>
    <col min="7946" max="7951" width="21.33203125" style="248" bestFit="1" customWidth="1"/>
    <col min="7952" max="7952" width="19.5546875" style="248" customWidth="1"/>
    <col min="7953" max="7953" width="21.33203125" style="248" bestFit="1" customWidth="1"/>
    <col min="7954" max="7954" width="22.6640625" style="248" customWidth="1"/>
    <col min="7955" max="7955" width="22" style="248" customWidth="1"/>
    <col min="7956" max="7956" width="23.44140625" style="248" bestFit="1" customWidth="1"/>
    <col min="7957" max="7959" width="9.33203125" style="248"/>
    <col min="7960" max="7960" width="11.33203125" style="248" customWidth="1"/>
    <col min="7961" max="7961" width="10.33203125" style="248" customWidth="1"/>
    <col min="7962" max="8169" width="9.33203125" style="248"/>
    <col min="8170" max="8170" width="2.6640625" style="248" customWidth="1"/>
    <col min="8171" max="8171" width="13.33203125" style="248" customWidth="1"/>
    <col min="8172" max="8172" width="60.33203125" style="248" customWidth="1"/>
    <col min="8173" max="8177" width="10.6640625" style="248" bestFit="1" customWidth="1"/>
    <col min="8178" max="8178" width="11.6640625" style="248" bestFit="1" customWidth="1"/>
    <col min="8179" max="8179" width="14.33203125" style="248" bestFit="1" customWidth="1"/>
    <col min="8180" max="8180" width="17.44140625" style="248" bestFit="1" customWidth="1"/>
    <col min="8181" max="8183" width="17.5546875" style="248" bestFit="1" customWidth="1"/>
    <col min="8184" max="8190" width="21" style="248" bestFit="1" customWidth="1"/>
    <col min="8191" max="8198" width="21.33203125" style="248" bestFit="1" customWidth="1"/>
    <col min="8199" max="8199" width="22.6640625" style="248" customWidth="1"/>
    <col min="8200" max="8200" width="22" style="248" customWidth="1"/>
    <col min="8201" max="8201" width="22.6640625" style="248" customWidth="1"/>
    <col min="8202" max="8207" width="21.33203125" style="248" bestFit="1" customWidth="1"/>
    <col min="8208" max="8208" width="19.5546875" style="248" customWidth="1"/>
    <col min="8209" max="8209" width="21.33203125" style="248" bestFit="1" customWidth="1"/>
    <col min="8210" max="8210" width="22.6640625" style="248" customWidth="1"/>
    <col min="8211" max="8211" width="22" style="248" customWidth="1"/>
    <col min="8212" max="8212" width="23.44140625" style="248" bestFit="1" customWidth="1"/>
    <col min="8213" max="8215" width="9.33203125" style="248"/>
    <col min="8216" max="8216" width="11.33203125" style="248" customWidth="1"/>
    <col min="8217" max="8217" width="10.33203125" style="248" customWidth="1"/>
    <col min="8218" max="8425" width="9.33203125" style="248"/>
    <col min="8426" max="8426" width="2.6640625" style="248" customWidth="1"/>
    <col min="8427" max="8427" width="13.33203125" style="248" customWidth="1"/>
    <col min="8428" max="8428" width="60.33203125" style="248" customWidth="1"/>
    <col min="8429" max="8433" width="10.6640625" style="248" bestFit="1" customWidth="1"/>
    <col min="8434" max="8434" width="11.6640625" style="248" bestFit="1" customWidth="1"/>
    <col min="8435" max="8435" width="14.33203125" style="248" bestFit="1" customWidth="1"/>
    <col min="8436" max="8436" width="17.44140625" style="248" bestFit="1" customWidth="1"/>
    <col min="8437" max="8439" width="17.5546875" style="248" bestFit="1" customWidth="1"/>
    <col min="8440" max="8446" width="21" style="248" bestFit="1" customWidth="1"/>
    <col min="8447" max="8454" width="21.33203125" style="248" bestFit="1" customWidth="1"/>
    <col min="8455" max="8455" width="22.6640625" style="248" customWidth="1"/>
    <col min="8456" max="8456" width="22" style="248" customWidth="1"/>
    <col min="8457" max="8457" width="22.6640625" style="248" customWidth="1"/>
    <col min="8458" max="8463" width="21.33203125" style="248" bestFit="1" customWidth="1"/>
    <col min="8464" max="8464" width="19.5546875" style="248" customWidth="1"/>
    <col min="8465" max="8465" width="21.33203125" style="248" bestFit="1" customWidth="1"/>
    <col min="8466" max="8466" width="22.6640625" style="248" customWidth="1"/>
    <col min="8467" max="8467" width="22" style="248" customWidth="1"/>
    <col min="8468" max="8468" width="23.44140625" style="248" bestFit="1" customWidth="1"/>
    <col min="8469" max="8471" width="9.33203125" style="248"/>
    <col min="8472" max="8472" width="11.33203125" style="248" customWidth="1"/>
    <col min="8473" max="8473" width="10.33203125" style="248" customWidth="1"/>
    <col min="8474" max="8681" width="9.33203125" style="248"/>
    <col min="8682" max="8682" width="2.6640625" style="248" customWidth="1"/>
    <col min="8683" max="8683" width="13.33203125" style="248" customWidth="1"/>
    <col min="8684" max="8684" width="60.33203125" style="248" customWidth="1"/>
    <col min="8685" max="8689" width="10.6640625" style="248" bestFit="1" customWidth="1"/>
    <col min="8690" max="8690" width="11.6640625" style="248" bestFit="1" customWidth="1"/>
    <col min="8691" max="8691" width="14.33203125" style="248" bestFit="1" customWidth="1"/>
    <col min="8692" max="8692" width="17.44140625" style="248" bestFit="1" customWidth="1"/>
    <col min="8693" max="8695" width="17.5546875" style="248" bestFit="1" customWidth="1"/>
    <col min="8696" max="8702" width="21" style="248" bestFit="1" customWidth="1"/>
    <col min="8703" max="8710" width="21.33203125" style="248" bestFit="1" customWidth="1"/>
    <col min="8711" max="8711" width="22.6640625" style="248" customWidth="1"/>
    <col min="8712" max="8712" width="22" style="248" customWidth="1"/>
    <col min="8713" max="8713" width="22.6640625" style="248" customWidth="1"/>
    <col min="8714" max="8719" width="21.33203125" style="248" bestFit="1" customWidth="1"/>
    <col min="8720" max="8720" width="19.5546875" style="248" customWidth="1"/>
    <col min="8721" max="8721" width="21.33203125" style="248" bestFit="1" customWidth="1"/>
    <col min="8722" max="8722" width="22.6640625" style="248" customWidth="1"/>
    <col min="8723" max="8723" width="22" style="248" customWidth="1"/>
    <col min="8724" max="8724" width="23.44140625" style="248" bestFit="1" customWidth="1"/>
    <col min="8725" max="8727" width="9.33203125" style="248"/>
    <col min="8728" max="8728" width="11.33203125" style="248" customWidth="1"/>
    <col min="8729" max="8729" width="10.33203125" style="248" customWidth="1"/>
    <col min="8730" max="8937" width="9.33203125" style="248"/>
    <col min="8938" max="8938" width="2.6640625" style="248" customWidth="1"/>
    <col min="8939" max="8939" width="13.33203125" style="248" customWidth="1"/>
    <col min="8940" max="8940" width="60.33203125" style="248" customWidth="1"/>
    <col min="8941" max="8945" width="10.6640625" style="248" bestFit="1" customWidth="1"/>
    <col min="8946" max="8946" width="11.6640625" style="248" bestFit="1" customWidth="1"/>
    <col min="8947" max="8947" width="14.33203125" style="248" bestFit="1" customWidth="1"/>
    <col min="8948" max="8948" width="17.44140625" style="248" bestFit="1" customWidth="1"/>
    <col min="8949" max="8951" width="17.5546875" style="248" bestFit="1" customWidth="1"/>
    <col min="8952" max="8958" width="21" style="248" bestFit="1" customWidth="1"/>
    <col min="8959" max="8966" width="21.33203125" style="248" bestFit="1" customWidth="1"/>
    <col min="8967" max="8967" width="22.6640625" style="248" customWidth="1"/>
    <col min="8968" max="8968" width="22" style="248" customWidth="1"/>
    <col min="8969" max="8969" width="22.6640625" style="248" customWidth="1"/>
    <col min="8970" max="8975" width="21.33203125" style="248" bestFit="1" customWidth="1"/>
    <col min="8976" max="8976" width="19.5546875" style="248" customWidth="1"/>
    <col min="8977" max="8977" width="21.33203125" style="248" bestFit="1" customWidth="1"/>
    <col min="8978" max="8978" width="22.6640625" style="248" customWidth="1"/>
    <col min="8979" max="8979" width="22" style="248" customWidth="1"/>
    <col min="8980" max="8980" width="23.44140625" style="248" bestFit="1" customWidth="1"/>
    <col min="8981" max="8983" width="9.33203125" style="248"/>
    <col min="8984" max="8984" width="11.33203125" style="248" customWidth="1"/>
    <col min="8985" max="8985" width="10.33203125" style="248" customWidth="1"/>
    <col min="8986" max="9193" width="9.33203125" style="248"/>
    <col min="9194" max="9194" width="2.6640625" style="248" customWidth="1"/>
    <col min="9195" max="9195" width="13.33203125" style="248" customWidth="1"/>
    <col min="9196" max="9196" width="60.33203125" style="248" customWidth="1"/>
    <col min="9197" max="9201" width="10.6640625" style="248" bestFit="1" customWidth="1"/>
    <col min="9202" max="9202" width="11.6640625" style="248" bestFit="1" customWidth="1"/>
    <col min="9203" max="9203" width="14.33203125" style="248" bestFit="1" customWidth="1"/>
    <col min="9204" max="9204" width="17.44140625" style="248" bestFit="1" customWidth="1"/>
    <col min="9205" max="9207" width="17.5546875" style="248" bestFit="1" customWidth="1"/>
    <col min="9208" max="9214" width="21" style="248" bestFit="1" customWidth="1"/>
    <col min="9215" max="9222" width="21.33203125" style="248" bestFit="1" customWidth="1"/>
    <col min="9223" max="9223" width="22.6640625" style="248" customWidth="1"/>
    <col min="9224" max="9224" width="22" style="248" customWidth="1"/>
    <col min="9225" max="9225" width="22.6640625" style="248" customWidth="1"/>
    <col min="9226" max="9231" width="21.33203125" style="248" bestFit="1" customWidth="1"/>
    <col min="9232" max="9232" width="19.5546875" style="248" customWidth="1"/>
    <col min="9233" max="9233" width="21.33203125" style="248" bestFit="1" customWidth="1"/>
    <col min="9234" max="9234" width="22.6640625" style="248" customWidth="1"/>
    <col min="9235" max="9235" width="22" style="248" customWidth="1"/>
    <col min="9236" max="9236" width="23.44140625" style="248" bestFit="1" customWidth="1"/>
    <col min="9237" max="9239" width="9.33203125" style="248"/>
    <col min="9240" max="9240" width="11.33203125" style="248" customWidth="1"/>
    <col min="9241" max="9241" width="10.33203125" style="248" customWidth="1"/>
    <col min="9242" max="9449" width="9.33203125" style="248"/>
    <col min="9450" max="9450" width="2.6640625" style="248" customWidth="1"/>
    <col min="9451" max="9451" width="13.33203125" style="248" customWidth="1"/>
    <col min="9452" max="9452" width="60.33203125" style="248" customWidth="1"/>
    <col min="9453" max="9457" width="10.6640625" style="248" bestFit="1" customWidth="1"/>
    <col min="9458" max="9458" width="11.6640625" style="248" bestFit="1" customWidth="1"/>
    <col min="9459" max="9459" width="14.33203125" style="248" bestFit="1" customWidth="1"/>
    <col min="9460" max="9460" width="17.44140625" style="248" bestFit="1" customWidth="1"/>
    <col min="9461" max="9463" width="17.5546875" style="248" bestFit="1" customWidth="1"/>
    <col min="9464" max="9470" width="21" style="248" bestFit="1" customWidth="1"/>
    <col min="9471" max="9478" width="21.33203125" style="248" bestFit="1" customWidth="1"/>
    <col min="9479" max="9479" width="22.6640625" style="248" customWidth="1"/>
    <col min="9480" max="9480" width="22" style="248" customWidth="1"/>
    <col min="9481" max="9481" width="22.6640625" style="248" customWidth="1"/>
    <col min="9482" max="9487" width="21.33203125" style="248" bestFit="1" customWidth="1"/>
    <col min="9488" max="9488" width="19.5546875" style="248" customWidth="1"/>
    <col min="9489" max="9489" width="21.33203125" style="248" bestFit="1" customWidth="1"/>
    <col min="9490" max="9490" width="22.6640625" style="248" customWidth="1"/>
    <col min="9491" max="9491" width="22" style="248" customWidth="1"/>
    <col min="9492" max="9492" width="23.44140625" style="248" bestFit="1" customWidth="1"/>
    <col min="9493" max="9495" width="9.33203125" style="248"/>
    <col min="9496" max="9496" width="11.33203125" style="248" customWidth="1"/>
    <col min="9497" max="9497" width="10.33203125" style="248" customWidth="1"/>
    <col min="9498" max="9705" width="9.33203125" style="248"/>
    <col min="9706" max="9706" width="2.6640625" style="248" customWidth="1"/>
    <col min="9707" max="9707" width="13.33203125" style="248" customWidth="1"/>
    <col min="9708" max="9708" width="60.33203125" style="248" customWidth="1"/>
    <col min="9709" max="9713" width="10.6640625" style="248" bestFit="1" customWidth="1"/>
    <col min="9714" max="9714" width="11.6640625" style="248" bestFit="1" customWidth="1"/>
    <col min="9715" max="9715" width="14.33203125" style="248" bestFit="1" customWidth="1"/>
    <col min="9716" max="9716" width="17.44140625" style="248" bestFit="1" customWidth="1"/>
    <col min="9717" max="9719" width="17.5546875" style="248" bestFit="1" customWidth="1"/>
    <col min="9720" max="9726" width="21" style="248" bestFit="1" customWidth="1"/>
    <col min="9727" max="9734" width="21.33203125" style="248" bestFit="1" customWidth="1"/>
    <col min="9735" max="9735" width="22.6640625" style="248" customWidth="1"/>
    <col min="9736" max="9736" width="22" style="248" customWidth="1"/>
    <col min="9737" max="9737" width="22.6640625" style="248" customWidth="1"/>
    <col min="9738" max="9743" width="21.33203125" style="248" bestFit="1" customWidth="1"/>
    <col min="9744" max="9744" width="19.5546875" style="248" customWidth="1"/>
    <col min="9745" max="9745" width="21.33203125" style="248" bestFit="1" customWidth="1"/>
    <col min="9746" max="9746" width="22.6640625" style="248" customWidth="1"/>
    <col min="9747" max="9747" width="22" style="248" customWidth="1"/>
    <col min="9748" max="9748" width="23.44140625" style="248" bestFit="1" customWidth="1"/>
    <col min="9749" max="9751" width="9.33203125" style="248"/>
    <col min="9752" max="9752" width="11.33203125" style="248" customWidth="1"/>
    <col min="9753" max="9753" width="10.33203125" style="248" customWidth="1"/>
    <col min="9754" max="9961" width="9.33203125" style="248"/>
    <col min="9962" max="9962" width="2.6640625" style="248" customWidth="1"/>
    <col min="9963" max="9963" width="13.33203125" style="248" customWidth="1"/>
    <col min="9964" max="9964" width="60.33203125" style="248" customWidth="1"/>
    <col min="9965" max="9969" width="10.6640625" style="248" bestFit="1" customWidth="1"/>
    <col min="9970" max="9970" width="11.6640625" style="248" bestFit="1" customWidth="1"/>
    <col min="9971" max="9971" width="14.33203125" style="248" bestFit="1" customWidth="1"/>
    <col min="9972" max="9972" width="17.44140625" style="248" bestFit="1" customWidth="1"/>
    <col min="9973" max="9975" width="17.5546875" style="248" bestFit="1" customWidth="1"/>
    <col min="9976" max="9982" width="21" style="248" bestFit="1" customWidth="1"/>
    <col min="9983" max="9990" width="21.33203125" style="248" bestFit="1" customWidth="1"/>
    <col min="9991" max="9991" width="22.6640625" style="248" customWidth="1"/>
    <col min="9992" max="9992" width="22" style="248" customWidth="1"/>
    <col min="9993" max="9993" width="22.6640625" style="248" customWidth="1"/>
    <col min="9994" max="9999" width="21.33203125" style="248" bestFit="1" customWidth="1"/>
    <col min="10000" max="10000" width="19.5546875" style="248" customWidth="1"/>
    <col min="10001" max="10001" width="21.33203125" style="248" bestFit="1" customWidth="1"/>
    <col min="10002" max="10002" width="22.6640625" style="248" customWidth="1"/>
    <col min="10003" max="10003" width="22" style="248" customWidth="1"/>
    <col min="10004" max="10004" width="23.44140625" style="248" bestFit="1" customWidth="1"/>
    <col min="10005" max="10007" width="9.33203125" style="248"/>
    <col min="10008" max="10008" width="11.33203125" style="248" customWidth="1"/>
    <col min="10009" max="10009" width="10.33203125" style="248" customWidth="1"/>
    <col min="10010" max="10217" width="9.33203125" style="248"/>
    <col min="10218" max="10218" width="2.6640625" style="248" customWidth="1"/>
    <col min="10219" max="10219" width="13.33203125" style="248" customWidth="1"/>
    <col min="10220" max="10220" width="60.33203125" style="248" customWidth="1"/>
    <col min="10221" max="10225" width="10.6640625" style="248" bestFit="1" customWidth="1"/>
    <col min="10226" max="10226" width="11.6640625" style="248" bestFit="1" customWidth="1"/>
    <col min="10227" max="10227" width="14.33203125" style="248" bestFit="1" customWidth="1"/>
    <col min="10228" max="10228" width="17.44140625" style="248" bestFit="1" customWidth="1"/>
    <col min="10229" max="10231" width="17.5546875" style="248" bestFit="1" customWidth="1"/>
    <col min="10232" max="10238" width="21" style="248" bestFit="1" customWidth="1"/>
    <col min="10239" max="10246" width="21.33203125" style="248" bestFit="1" customWidth="1"/>
    <col min="10247" max="10247" width="22.6640625" style="248" customWidth="1"/>
    <col min="10248" max="10248" width="22" style="248" customWidth="1"/>
    <col min="10249" max="10249" width="22.6640625" style="248" customWidth="1"/>
    <col min="10250" max="10255" width="21.33203125" style="248" bestFit="1" customWidth="1"/>
    <col min="10256" max="10256" width="19.5546875" style="248" customWidth="1"/>
    <col min="10257" max="10257" width="21.33203125" style="248" bestFit="1" customWidth="1"/>
    <col min="10258" max="10258" width="22.6640625" style="248" customWidth="1"/>
    <col min="10259" max="10259" width="22" style="248" customWidth="1"/>
    <col min="10260" max="10260" width="23.44140625" style="248" bestFit="1" customWidth="1"/>
    <col min="10261" max="10263" width="9.33203125" style="248"/>
    <col min="10264" max="10264" width="11.33203125" style="248" customWidth="1"/>
    <col min="10265" max="10265" width="10.33203125" style="248" customWidth="1"/>
    <col min="10266" max="10473" width="9.33203125" style="248"/>
    <col min="10474" max="10474" width="2.6640625" style="248" customWidth="1"/>
    <col min="10475" max="10475" width="13.33203125" style="248" customWidth="1"/>
    <col min="10476" max="10476" width="60.33203125" style="248" customWidth="1"/>
    <col min="10477" max="10481" width="10.6640625" style="248" bestFit="1" customWidth="1"/>
    <col min="10482" max="10482" width="11.6640625" style="248" bestFit="1" customWidth="1"/>
    <col min="10483" max="10483" width="14.33203125" style="248" bestFit="1" customWidth="1"/>
    <col min="10484" max="10484" width="17.44140625" style="248" bestFit="1" customWidth="1"/>
    <col min="10485" max="10487" width="17.5546875" style="248" bestFit="1" customWidth="1"/>
    <col min="10488" max="10494" width="21" style="248" bestFit="1" customWidth="1"/>
    <col min="10495" max="10502" width="21.33203125" style="248" bestFit="1" customWidth="1"/>
    <col min="10503" max="10503" width="22.6640625" style="248" customWidth="1"/>
    <col min="10504" max="10504" width="22" style="248" customWidth="1"/>
    <col min="10505" max="10505" width="22.6640625" style="248" customWidth="1"/>
    <col min="10506" max="10511" width="21.33203125" style="248" bestFit="1" customWidth="1"/>
    <col min="10512" max="10512" width="19.5546875" style="248" customWidth="1"/>
    <col min="10513" max="10513" width="21.33203125" style="248" bestFit="1" customWidth="1"/>
    <col min="10514" max="10514" width="22.6640625" style="248" customWidth="1"/>
    <col min="10515" max="10515" width="22" style="248" customWidth="1"/>
    <col min="10516" max="10516" width="23.44140625" style="248" bestFit="1" customWidth="1"/>
    <col min="10517" max="10519" width="9.33203125" style="248"/>
    <col min="10520" max="10520" width="11.33203125" style="248" customWidth="1"/>
    <col min="10521" max="10521" width="10.33203125" style="248" customWidth="1"/>
    <col min="10522" max="10729" width="9.33203125" style="248"/>
    <col min="10730" max="10730" width="2.6640625" style="248" customWidth="1"/>
    <col min="10731" max="10731" width="13.33203125" style="248" customWidth="1"/>
    <col min="10732" max="10732" width="60.33203125" style="248" customWidth="1"/>
    <col min="10733" max="10737" width="10.6640625" style="248" bestFit="1" customWidth="1"/>
    <col min="10738" max="10738" width="11.6640625" style="248" bestFit="1" customWidth="1"/>
    <col min="10739" max="10739" width="14.33203125" style="248" bestFit="1" customWidth="1"/>
    <col min="10740" max="10740" width="17.44140625" style="248" bestFit="1" customWidth="1"/>
    <col min="10741" max="10743" width="17.5546875" style="248" bestFit="1" customWidth="1"/>
    <col min="10744" max="10750" width="21" style="248" bestFit="1" customWidth="1"/>
    <col min="10751" max="10758" width="21.33203125" style="248" bestFit="1" customWidth="1"/>
    <col min="10759" max="10759" width="22.6640625" style="248" customWidth="1"/>
    <col min="10760" max="10760" width="22" style="248" customWidth="1"/>
    <col min="10761" max="10761" width="22.6640625" style="248" customWidth="1"/>
    <col min="10762" max="10767" width="21.33203125" style="248" bestFit="1" customWidth="1"/>
    <col min="10768" max="10768" width="19.5546875" style="248" customWidth="1"/>
    <col min="10769" max="10769" width="21.33203125" style="248" bestFit="1" customWidth="1"/>
    <col min="10770" max="10770" width="22.6640625" style="248" customWidth="1"/>
    <col min="10771" max="10771" width="22" style="248" customWidth="1"/>
    <col min="10772" max="10772" width="23.44140625" style="248" bestFit="1" customWidth="1"/>
    <col min="10773" max="10775" width="9.33203125" style="248"/>
    <col min="10776" max="10776" width="11.33203125" style="248" customWidth="1"/>
    <col min="10777" max="10777" width="10.33203125" style="248" customWidth="1"/>
    <col min="10778" max="10985" width="9.33203125" style="248"/>
    <col min="10986" max="10986" width="2.6640625" style="248" customWidth="1"/>
    <col min="10987" max="10987" width="13.33203125" style="248" customWidth="1"/>
    <col min="10988" max="10988" width="60.33203125" style="248" customWidth="1"/>
    <col min="10989" max="10993" width="10.6640625" style="248" bestFit="1" customWidth="1"/>
    <col min="10994" max="10994" width="11.6640625" style="248" bestFit="1" customWidth="1"/>
    <col min="10995" max="10995" width="14.33203125" style="248" bestFit="1" customWidth="1"/>
    <col min="10996" max="10996" width="17.44140625" style="248" bestFit="1" customWidth="1"/>
    <col min="10997" max="10999" width="17.5546875" style="248" bestFit="1" customWidth="1"/>
    <col min="11000" max="11006" width="21" style="248" bestFit="1" customWidth="1"/>
    <col min="11007" max="11014" width="21.33203125" style="248" bestFit="1" customWidth="1"/>
    <col min="11015" max="11015" width="22.6640625" style="248" customWidth="1"/>
    <col min="11016" max="11016" width="22" style="248" customWidth="1"/>
    <col min="11017" max="11017" width="22.6640625" style="248" customWidth="1"/>
    <col min="11018" max="11023" width="21.33203125" style="248" bestFit="1" customWidth="1"/>
    <col min="11024" max="11024" width="19.5546875" style="248" customWidth="1"/>
    <col min="11025" max="11025" width="21.33203125" style="248" bestFit="1" customWidth="1"/>
    <col min="11026" max="11026" width="22.6640625" style="248" customWidth="1"/>
    <col min="11027" max="11027" width="22" style="248" customWidth="1"/>
    <col min="11028" max="11028" width="23.44140625" style="248" bestFit="1" customWidth="1"/>
    <col min="11029" max="11031" width="9.33203125" style="248"/>
    <col min="11032" max="11032" width="11.33203125" style="248" customWidth="1"/>
    <col min="11033" max="11033" width="10.33203125" style="248" customWidth="1"/>
    <col min="11034" max="11241" width="9.33203125" style="248"/>
    <col min="11242" max="11242" width="2.6640625" style="248" customWidth="1"/>
    <col min="11243" max="11243" width="13.33203125" style="248" customWidth="1"/>
    <col min="11244" max="11244" width="60.33203125" style="248" customWidth="1"/>
    <col min="11245" max="11249" width="10.6640625" style="248" bestFit="1" customWidth="1"/>
    <col min="11250" max="11250" width="11.6640625" style="248" bestFit="1" customWidth="1"/>
    <col min="11251" max="11251" width="14.33203125" style="248" bestFit="1" customWidth="1"/>
    <col min="11252" max="11252" width="17.44140625" style="248" bestFit="1" customWidth="1"/>
    <col min="11253" max="11255" width="17.5546875" style="248" bestFit="1" customWidth="1"/>
    <col min="11256" max="11262" width="21" style="248" bestFit="1" customWidth="1"/>
    <col min="11263" max="11270" width="21.33203125" style="248" bestFit="1" customWidth="1"/>
    <col min="11271" max="11271" width="22.6640625" style="248" customWidth="1"/>
    <col min="11272" max="11272" width="22" style="248" customWidth="1"/>
    <col min="11273" max="11273" width="22.6640625" style="248" customWidth="1"/>
    <col min="11274" max="11279" width="21.33203125" style="248" bestFit="1" customWidth="1"/>
    <col min="11280" max="11280" width="19.5546875" style="248" customWidth="1"/>
    <col min="11281" max="11281" width="21.33203125" style="248" bestFit="1" customWidth="1"/>
    <col min="11282" max="11282" width="22.6640625" style="248" customWidth="1"/>
    <col min="11283" max="11283" width="22" style="248" customWidth="1"/>
    <col min="11284" max="11284" width="23.44140625" style="248" bestFit="1" customWidth="1"/>
    <col min="11285" max="11287" width="9.33203125" style="248"/>
    <col min="11288" max="11288" width="11.33203125" style="248" customWidth="1"/>
    <col min="11289" max="11289" width="10.33203125" style="248" customWidth="1"/>
    <col min="11290" max="11497" width="9.33203125" style="248"/>
    <col min="11498" max="11498" width="2.6640625" style="248" customWidth="1"/>
    <col min="11499" max="11499" width="13.33203125" style="248" customWidth="1"/>
    <col min="11500" max="11500" width="60.33203125" style="248" customWidth="1"/>
    <col min="11501" max="11505" width="10.6640625" style="248" bestFit="1" customWidth="1"/>
    <col min="11506" max="11506" width="11.6640625" style="248" bestFit="1" customWidth="1"/>
    <col min="11507" max="11507" width="14.33203125" style="248" bestFit="1" customWidth="1"/>
    <col min="11508" max="11508" width="17.44140625" style="248" bestFit="1" customWidth="1"/>
    <col min="11509" max="11511" width="17.5546875" style="248" bestFit="1" customWidth="1"/>
    <col min="11512" max="11518" width="21" style="248" bestFit="1" customWidth="1"/>
    <col min="11519" max="11526" width="21.33203125" style="248" bestFit="1" customWidth="1"/>
    <col min="11527" max="11527" width="22.6640625" style="248" customWidth="1"/>
    <col min="11528" max="11528" width="22" style="248" customWidth="1"/>
    <col min="11529" max="11529" width="22.6640625" style="248" customWidth="1"/>
    <col min="11530" max="11535" width="21.33203125" style="248" bestFit="1" customWidth="1"/>
    <col min="11536" max="11536" width="19.5546875" style="248" customWidth="1"/>
    <col min="11537" max="11537" width="21.33203125" style="248" bestFit="1" customWidth="1"/>
    <col min="11538" max="11538" width="22.6640625" style="248" customWidth="1"/>
    <col min="11539" max="11539" width="22" style="248" customWidth="1"/>
    <col min="11540" max="11540" width="23.44140625" style="248" bestFit="1" customWidth="1"/>
    <col min="11541" max="11543" width="9.33203125" style="248"/>
    <col min="11544" max="11544" width="11.33203125" style="248" customWidth="1"/>
    <col min="11545" max="11545" width="10.33203125" style="248" customWidth="1"/>
    <col min="11546" max="11753" width="9.33203125" style="248"/>
    <col min="11754" max="11754" width="2.6640625" style="248" customWidth="1"/>
    <col min="11755" max="11755" width="13.33203125" style="248" customWidth="1"/>
    <col min="11756" max="11756" width="60.33203125" style="248" customWidth="1"/>
    <col min="11757" max="11761" width="10.6640625" style="248" bestFit="1" customWidth="1"/>
    <col min="11762" max="11762" width="11.6640625" style="248" bestFit="1" customWidth="1"/>
    <col min="11763" max="11763" width="14.33203125" style="248" bestFit="1" customWidth="1"/>
    <col min="11764" max="11764" width="17.44140625" style="248" bestFit="1" customWidth="1"/>
    <col min="11765" max="11767" width="17.5546875" style="248" bestFit="1" customWidth="1"/>
    <col min="11768" max="11774" width="21" style="248" bestFit="1" customWidth="1"/>
    <col min="11775" max="11782" width="21.33203125" style="248" bestFit="1" customWidth="1"/>
    <col min="11783" max="11783" width="22.6640625" style="248" customWidth="1"/>
    <col min="11784" max="11784" width="22" style="248" customWidth="1"/>
    <col min="11785" max="11785" width="22.6640625" style="248" customWidth="1"/>
    <col min="11786" max="11791" width="21.33203125" style="248" bestFit="1" customWidth="1"/>
    <col min="11792" max="11792" width="19.5546875" style="248" customWidth="1"/>
    <col min="11793" max="11793" width="21.33203125" style="248" bestFit="1" customWidth="1"/>
    <col min="11794" max="11794" width="22.6640625" style="248" customWidth="1"/>
    <col min="11795" max="11795" width="22" style="248" customWidth="1"/>
    <col min="11796" max="11796" width="23.44140625" style="248" bestFit="1" customWidth="1"/>
    <col min="11797" max="11799" width="9.33203125" style="248"/>
    <col min="11800" max="11800" width="11.33203125" style="248" customWidth="1"/>
    <col min="11801" max="11801" width="10.33203125" style="248" customWidth="1"/>
    <col min="11802" max="12009" width="9.33203125" style="248"/>
    <col min="12010" max="12010" width="2.6640625" style="248" customWidth="1"/>
    <col min="12011" max="12011" width="13.33203125" style="248" customWidth="1"/>
    <col min="12012" max="12012" width="60.33203125" style="248" customWidth="1"/>
    <col min="12013" max="12017" width="10.6640625" style="248" bestFit="1" customWidth="1"/>
    <col min="12018" max="12018" width="11.6640625" style="248" bestFit="1" customWidth="1"/>
    <col min="12019" max="12019" width="14.33203125" style="248" bestFit="1" customWidth="1"/>
    <col min="12020" max="12020" width="17.44140625" style="248" bestFit="1" customWidth="1"/>
    <col min="12021" max="12023" width="17.5546875" style="248" bestFit="1" customWidth="1"/>
    <col min="12024" max="12030" width="21" style="248" bestFit="1" customWidth="1"/>
    <col min="12031" max="12038" width="21.33203125" style="248" bestFit="1" customWidth="1"/>
    <col min="12039" max="12039" width="22.6640625" style="248" customWidth="1"/>
    <col min="12040" max="12040" width="22" style="248" customWidth="1"/>
    <col min="12041" max="12041" width="22.6640625" style="248" customWidth="1"/>
    <col min="12042" max="12047" width="21.33203125" style="248" bestFit="1" customWidth="1"/>
    <col min="12048" max="12048" width="19.5546875" style="248" customWidth="1"/>
    <col min="12049" max="12049" width="21.33203125" style="248" bestFit="1" customWidth="1"/>
    <col min="12050" max="12050" width="22.6640625" style="248" customWidth="1"/>
    <col min="12051" max="12051" width="22" style="248" customWidth="1"/>
    <col min="12052" max="12052" width="23.44140625" style="248" bestFit="1" customWidth="1"/>
    <col min="12053" max="12055" width="9.33203125" style="248"/>
    <col min="12056" max="12056" width="11.33203125" style="248" customWidth="1"/>
    <col min="12057" max="12057" width="10.33203125" style="248" customWidth="1"/>
    <col min="12058" max="12265" width="9.33203125" style="248"/>
    <col min="12266" max="12266" width="2.6640625" style="248" customWidth="1"/>
    <col min="12267" max="12267" width="13.33203125" style="248" customWidth="1"/>
    <col min="12268" max="12268" width="60.33203125" style="248" customWidth="1"/>
    <col min="12269" max="12273" width="10.6640625" style="248" bestFit="1" customWidth="1"/>
    <col min="12274" max="12274" width="11.6640625" style="248" bestFit="1" customWidth="1"/>
    <col min="12275" max="12275" width="14.33203125" style="248" bestFit="1" customWidth="1"/>
    <col min="12276" max="12276" width="17.44140625" style="248" bestFit="1" customWidth="1"/>
    <col min="12277" max="12279" width="17.5546875" style="248" bestFit="1" customWidth="1"/>
    <col min="12280" max="12286" width="21" style="248" bestFit="1" customWidth="1"/>
    <col min="12287" max="12294" width="21.33203125" style="248" bestFit="1" customWidth="1"/>
    <col min="12295" max="12295" width="22.6640625" style="248" customWidth="1"/>
    <col min="12296" max="12296" width="22" style="248" customWidth="1"/>
    <col min="12297" max="12297" width="22.6640625" style="248" customWidth="1"/>
    <col min="12298" max="12303" width="21.33203125" style="248" bestFit="1" customWidth="1"/>
    <col min="12304" max="12304" width="19.5546875" style="248" customWidth="1"/>
    <col min="12305" max="12305" width="21.33203125" style="248" bestFit="1" customWidth="1"/>
    <col min="12306" max="12306" width="22.6640625" style="248" customWidth="1"/>
    <col min="12307" max="12307" width="22" style="248" customWidth="1"/>
    <col min="12308" max="12308" width="23.44140625" style="248" bestFit="1" customWidth="1"/>
    <col min="12309" max="12311" width="9.33203125" style="248"/>
    <col min="12312" max="12312" width="11.33203125" style="248" customWidth="1"/>
    <col min="12313" max="12313" width="10.33203125" style="248" customWidth="1"/>
    <col min="12314" max="12521" width="9.33203125" style="248"/>
    <col min="12522" max="12522" width="2.6640625" style="248" customWidth="1"/>
    <col min="12523" max="12523" width="13.33203125" style="248" customWidth="1"/>
    <col min="12524" max="12524" width="60.33203125" style="248" customWidth="1"/>
    <col min="12525" max="12529" width="10.6640625" style="248" bestFit="1" customWidth="1"/>
    <col min="12530" max="12530" width="11.6640625" style="248" bestFit="1" customWidth="1"/>
    <col min="12531" max="12531" width="14.33203125" style="248" bestFit="1" customWidth="1"/>
    <col min="12532" max="12532" width="17.44140625" style="248" bestFit="1" customWidth="1"/>
    <col min="12533" max="12535" width="17.5546875" style="248" bestFit="1" customWidth="1"/>
    <col min="12536" max="12542" width="21" style="248" bestFit="1" customWidth="1"/>
    <col min="12543" max="12550" width="21.33203125" style="248" bestFit="1" customWidth="1"/>
    <col min="12551" max="12551" width="22.6640625" style="248" customWidth="1"/>
    <col min="12552" max="12552" width="22" style="248" customWidth="1"/>
    <col min="12553" max="12553" width="22.6640625" style="248" customWidth="1"/>
    <col min="12554" max="12559" width="21.33203125" style="248" bestFit="1" customWidth="1"/>
    <col min="12560" max="12560" width="19.5546875" style="248" customWidth="1"/>
    <col min="12561" max="12561" width="21.33203125" style="248" bestFit="1" customWidth="1"/>
    <col min="12562" max="12562" width="22.6640625" style="248" customWidth="1"/>
    <col min="12563" max="12563" width="22" style="248" customWidth="1"/>
    <col min="12564" max="12564" width="23.44140625" style="248" bestFit="1" customWidth="1"/>
    <col min="12565" max="12567" width="9.33203125" style="248"/>
    <col min="12568" max="12568" width="11.33203125" style="248" customWidth="1"/>
    <col min="12569" max="12569" width="10.33203125" style="248" customWidth="1"/>
    <col min="12570" max="12777" width="9.33203125" style="248"/>
    <col min="12778" max="12778" width="2.6640625" style="248" customWidth="1"/>
    <col min="12779" max="12779" width="13.33203125" style="248" customWidth="1"/>
    <col min="12780" max="12780" width="60.33203125" style="248" customWidth="1"/>
    <col min="12781" max="12785" width="10.6640625" style="248" bestFit="1" customWidth="1"/>
    <col min="12786" max="12786" width="11.6640625" style="248" bestFit="1" customWidth="1"/>
    <col min="12787" max="12787" width="14.33203125" style="248" bestFit="1" customWidth="1"/>
    <col min="12788" max="12788" width="17.44140625" style="248" bestFit="1" customWidth="1"/>
    <col min="12789" max="12791" width="17.5546875" style="248" bestFit="1" customWidth="1"/>
    <col min="12792" max="12798" width="21" style="248" bestFit="1" customWidth="1"/>
    <col min="12799" max="12806" width="21.33203125" style="248" bestFit="1" customWidth="1"/>
    <col min="12807" max="12807" width="22.6640625" style="248" customWidth="1"/>
    <col min="12808" max="12808" width="22" style="248" customWidth="1"/>
    <col min="12809" max="12809" width="22.6640625" style="248" customWidth="1"/>
    <col min="12810" max="12815" width="21.33203125" style="248" bestFit="1" customWidth="1"/>
    <col min="12816" max="12816" width="19.5546875" style="248" customWidth="1"/>
    <col min="12817" max="12817" width="21.33203125" style="248" bestFit="1" customWidth="1"/>
    <col min="12818" max="12818" width="22.6640625" style="248" customWidth="1"/>
    <col min="12819" max="12819" width="22" style="248" customWidth="1"/>
    <col min="12820" max="12820" width="23.44140625" style="248" bestFit="1" customWidth="1"/>
    <col min="12821" max="12823" width="9.33203125" style="248"/>
    <col min="12824" max="12824" width="11.33203125" style="248" customWidth="1"/>
    <col min="12825" max="12825" width="10.33203125" style="248" customWidth="1"/>
    <col min="12826" max="13033" width="9.33203125" style="248"/>
    <col min="13034" max="13034" width="2.6640625" style="248" customWidth="1"/>
    <col min="13035" max="13035" width="13.33203125" style="248" customWidth="1"/>
    <col min="13036" max="13036" width="60.33203125" style="248" customWidth="1"/>
    <col min="13037" max="13041" width="10.6640625" style="248" bestFit="1" customWidth="1"/>
    <col min="13042" max="13042" width="11.6640625" style="248" bestFit="1" customWidth="1"/>
    <col min="13043" max="13043" width="14.33203125" style="248" bestFit="1" customWidth="1"/>
    <col min="13044" max="13044" width="17.44140625" style="248" bestFit="1" customWidth="1"/>
    <col min="13045" max="13047" width="17.5546875" style="248" bestFit="1" customWidth="1"/>
    <col min="13048" max="13054" width="21" style="248" bestFit="1" customWidth="1"/>
    <col min="13055" max="13062" width="21.33203125" style="248" bestFit="1" customWidth="1"/>
    <col min="13063" max="13063" width="22.6640625" style="248" customWidth="1"/>
    <col min="13064" max="13064" width="22" style="248" customWidth="1"/>
    <col min="13065" max="13065" width="22.6640625" style="248" customWidth="1"/>
    <col min="13066" max="13071" width="21.33203125" style="248" bestFit="1" customWidth="1"/>
    <col min="13072" max="13072" width="19.5546875" style="248" customWidth="1"/>
    <col min="13073" max="13073" width="21.33203125" style="248" bestFit="1" customWidth="1"/>
    <col min="13074" max="13074" width="22.6640625" style="248" customWidth="1"/>
    <col min="13075" max="13075" width="22" style="248" customWidth="1"/>
    <col min="13076" max="13076" width="23.44140625" style="248" bestFit="1" customWidth="1"/>
    <col min="13077" max="13079" width="9.33203125" style="248"/>
    <col min="13080" max="13080" width="11.33203125" style="248" customWidth="1"/>
    <col min="13081" max="13081" width="10.33203125" style="248" customWidth="1"/>
    <col min="13082" max="13289" width="9.33203125" style="248"/>
    <col min="13290" max="13290" width="2.6640625" style="248" customWidth="1"/>
    <col min="13291" max="13291" width="13.33203125" style="248" customWidth="1"/>
    <col min="13292" max="13292" width="60.33203125" style="248" customWidth="1"/>
    <col min="13293" max="13297" width="10.6640625" style="248" bestFit="1" customWidth="1"/>
    <col min="13298" max="13298" width="11.6640625" style="248" bestFit="1" customWidth="1"/>
    <col min="13299" max="13299" width="14.33203125" style="248" bestFit="1" customWidth="1"/>
    <col min="13300" max="13300" width="17.44140625" style="248" bestFit="1" customWidth="1"/>
    <col min="13301" max="13303" width="17.5546875" style="248" bestFit="1" customWidth="1"/>
    <col min="13304" max="13310" width="21" style="248" bestFit="1" customWidth="1"/>
    <col min="13311" max="13318" width="21.33203125" style="248" bestFit="1" customWidth="1"/>
    <col min="13319" max="13319" width="22.6640625" style="248" customWidth="1"/>
    <col min="13320" max="13320" width="22" style="248" customWidth="1"/>
    <col min="13321" max="13321" width="22.6640625" style="248" customWidth="1"/>
    <col min="13322" max="13327" width="21.33203125" style="248" bestFit="1" customWidth="1"/>
    <col min="13328" max="13328" width="19.5546875" style="248" customWidth="1"/>
    <col min="13329" max="13329" width="21.33203125" style="248" bestFit="1" customWidth="1"/>
    <col min="13330" max="13330" width="22.6640625" style="248" customWidth="1"/>
    <col min="13331" max="13331" width="22" style="248" customWidth="1"/>
    <col min="13332" max="13332" width="23.44140625" style="248" bestFit="1" customWidth="1"/>
    <col min="13333" max="13335" width="9.33203125" style="248"/>
    <col min="13336" max="13336" width="11.33203125" style="248" customWidth="1"/>
    <col min="13337" max="13337" width="10.33203125" style="248" customWidth="1"/>
    <col min="13338" max="13545" width="9.33203125" style="248"/>
    <col min="13546" max="13546" width="2.6640625" style="248" customWidth="1"/>
    <col min="13547" max="13547" width="13.33203125" style="248" customWidth="1"/>
    <col min="13548" max="13548" width="60.33203125" style="248" customWidth="1"/>
    <col min="13549" max="13553" width="10.6640625" style="248" bestFit="1" customWidth="1"/>
    <col min="13554" max="13554" width="11.6640625" style="248" bestFit="1" customWidth="1"/>
    <col min="13555" max="13555" width="14.33203125" style="248" bestFit="1" customWidth="1"/>
    <col min="13556" max="13556" width="17.44140625" style="248" bestFit="1" customWidth="1"/>
    <col min="13557" max="13559" width="17.5546875" style="248" bestFit="1" customWidth="1"/>
    <col min="13560" max="13566" width="21" style="248" bestFit="1" customWidth="1"/>
    <col min="13567" max="13574" width="21.33203125" style="248" bestFit="1" customWidth="1"/>
    <col min="13575" max="13575" width="22.6640625" style="248" customWidth="1"/>
    <col min="13576" max="13576" width="22" style="248" customWidth="1"/>
    <col min="13577" max="13577" width="22.6640625" style="248" customWidth="1"/>
    <col min="13578" max="13583" width="21.33203125" style="248" bestFit="1" customWidth="1"/>
    <col min="13584" max="13584" width="19.5546875" style="248" customWidth="1"/>
    <col min="13585" max="13585" width="21.33203125" style="248" bestFit="1" customWidth="1"/>
    <col min="13586" max="13586" width="22.6640625" style="248" customWidth="1"/>
    <col min="13587" max="13587" width="22" style="248" customWidth="1"/>
    <col min="13588" max="13588" width="23.44140625" style="248" bestFit="1" customWidth="1"/>
    <col min="13589" max="13591" width="9.33203125" style="248"/>
    <col min="13592" max="13592" width="11.33203125" style="248" customWidth="1"/>
    <col min="13593" max="13593" width="10.33203125" style="248" customWidth="1"/>
    <col min="13594" max="13801" width="9.33203125" style="248"/>
    <col min="13802" max="13802" width="2.6640625" style="248" customWidth="1"/>
    <col min="13803" max="13803" width="13.33203125" style="248" customWidth="1"/>
    <col min="13804" max="13804" width="60.33203125" style="248" customWidth="1"/>
    <col min="13805" max="13809" width="10.6640625" style="248" bestFit="1" customWidth="1"/>
    <col min="13810" max="13810" width="11.6640625" style="248" bestFit="1" customWidth="1"/>
    <col min="13811" max="13811" width="14.33203125" style="248" bestFit="1" customWidth="1"/>
    <col min="13812" max="13812" width="17.44140625" style="248" bestFit="1" customWidth="1"/>
    <col min="13813" max="13815" width="17.5546875" style="248" bestFit="1" customWidth="1"/>
    <col min="13816" max="13822" width="21" style="248" bestFit="1" customWidth="1"/>
    <col min="13823" max="13830" width="21.33203125" style="248" bestFit="1" customWidth="1"/>
    <col min="13831" max="13831" width="22.6640625" style="248" customWidth="1"/>
    <col min="13832" max="13832" width="22" style="248" customWidth="1"/>
    <col min="13833" max="13833" width="22.6640625" style="248" customWidth="1"/>
    <col min="13834" max="13839" width="21.33203125" style="248" bestFit="1" customWidth="1"/>
    <col min="13840" max="13840" width="19.5546875" style="248" customWidth="1"/>
    <col min="13841" max="13841" width="21.33203125" style="248" bestFit="1" customWidth="1"/>
    <col min="13842" max="13842" width="22.6640625" style="248" customWidth="1"/>
    <col min="13843" max="13843" width="22" style="248" customWidth="1"/>
    <col min="13844" max="13844" width="23.44140625" style="248" bestFit="1" customWidth="1"/>
    <col min="13845" max="13847" width="9.33203125" style="248"/>
    <col min="13848" max="13848" width="11.33203125" style="248" customWidth="1"/>
    <col min="13849" max="13849" width="10.33203125" style="248" customWidth="1"/>
    <col min="13850" max="14057" width="9.33203125" style="248"/>
    <col min="14058" max="14058" width="2.6640625" style="248" customWidth="1"/>
    <col min="14059" max="14059" width="13.33203125" style="248" customWidth="1"/>
    <col min="14060" max="14060" width="60.33203125" style="248" customWidth="1"/>
    <col min="14061" max="14065" width="10.6640625" style="248" bestFit="1" customWidth="1"/>
    <col min="14066" max="14066" width="11.6640625" style="248" bestFit="1" customWidth="1"/>
    <col min="14067" max="14067" width="14.33203125" style="248" bestFit="1" customWidth="1"/>
    <col min="14068" max="14068" width="17.44140625" style="248" bestFit="1" customWidth="1"/>
    <col min="14069" max="14071" width="17.5546875" style="248" bestFit="1" customWidth="1"/>
    <col min="14072" max="14078" width="21" style="248" bestFit="1" customWidth="1"/>
    <col min="14079" max="14086" width="21.33203125" style="248" bestFit="1" customWidth="1"/>
    <col min="14087" max="14087" width="22.6640625" style="248" customWidth="1"/>
    <col min="14088" max="14088" width="22" style="248" customWidth="1"/>
    <col min="14089" max="14089" width="22.6640625" style="248" customWidth="1"/>
    <col min="14090" max="14095" width="21.33203125" style="248" bestFit="1" customWidth="1"/>
    <col min="14096" max="14096" width="19.5546875" style="248" customWidth="1"/>
    <col min="14097" max="14097" width="21.33203125" style="248" bestFit="1" customWidth="1"/>
    <col min="14098" max="14098" width="22.6640625" style="248" customWidth="1"/>
    <col min="14099" max="14099" width="22" style="248" customWidth="1"/>
    <col min="14100" max="14100" width="23.44140625" style="248" bestFit="1" customWidth="1"/>
    <col min="14101" max="14103" width="9.33203125" style="248"/>
    <col min="14104" max="14104" width="11.33203125" style="248" customWidth="1"/>
    <col min="14105" max="14105" width="10.33203125" style="248" customWidth="1"/>
    <col min="14106" max="14313" width="9.33203125" style="248"/>
    <col min="14314" max="14314" width="2.6640625" style="248" customWidth="1"/>
    <col min="14315" max="14315" width="13.33203125" style="248" customWidth="1"/>
    <col min="14316" max="14316" width="60.33203125" style="248" customWidth="1"/>
    <col min="14317" max="14321" width="10.6640625" style="248" bestFit="1" customWidth="1"/>
    <col min="14322" max="14322" width="11.6640625" style="248" bestFit="1" customWidth="1"/>
    <col min="14323" max="14323" width="14.33203125" style="248" bestFit="1" customWidth="1"/>
    <col min="14324" max="14324" width="17.44140625" style="248" bestFit="1" customWidth="1"/>
    <col min="14325" max="14327" width="17.5546875" style="248" bestFit="1" customWidth="1"/>
    <col min="14328" max="14334" width="21" style="248" bestFit="1" customWidth="1"/>
    <col min="14335" max="14342" width="21.33203125" style="248" bestFit="1" customWidth="1"/>
    <col min="14343" max="14343" width="22.6640625" style="248" customWidth="1"/>
    <col min="14344" max="14344" width="22" style="248" customWidth="1"/>
    <col min="14345" max="14345" width="22.6640625" style="248" customWidth="1"/>
    <col min="14346" max="14351" width="21.33203125" style="248" bestFit="1" customWidth="1"/>
    <col min="14352" max="14352" width="19.5546875" style="248" customWidth="1"/>
    <col min="14353" max="14353" width="21.33203125" style="248" bestFit="1" customWidth="1"/>
    <col min="14354" max="14354" width="22.6640625" style="248" customWidth="1"/>
    <col min="14355" max="14355" width="22" style="248" customWidth="1"/>
    <col min="14356" max="14356" width="23.44140625" style="248" bestFit="1" customWidth="1"/>
    <col min="14357" max="14359" width="9.33203125" style="248"/>
    <col min="14360" max="14360" width="11.33203125" style="248" customWidth="1"/>
    <col min="14361" max="14361" width="10.33203125" style="248" customWidth="1"/>
    <col min="14362" max="14569" width="9.33203125" style="248"/>
    <col min="14570" max="14570" width="2.6640625" style="248" customWidth="1"/>
    <col min="14571" max="14571" width="13.33203125" style="248" customWidth="1"/>
    <col min="14572" max="14572" width="60.33203125" style="248" customWidth="1"/>
    <col min="14573" max="14577" width="10.6640625" style="248" bestFit="1" customWidth="1"/>
    <col min="14578" max="14578" width="11.6640625" style="248" bestFit="1" customWidth="1"/>
    <col min="14579" max="14579" width="14.33203125" style="248" bestFit="1" customWidth="1"/>
    <col min="14580" max="14580" width="17.44140625" style="248" bestFit="1" customWidth="1"/>
    <col min="14581" max="14583" width="17.5546875" style="248" bestFit="1" customWidth="1"/>
    <col min="14584" max="14590" width="21" style="248" bestFit="1" customWidth="1"/>
    <col min="14591" max="14598" width="21.33203125" style="248" bestFit="1" customWidth="1"/>
    <col min="14599" max="14599" width="22.6640625" style="248" customWidth="1"/>
    <col min="14600" max="14600" width="22" style="248" customWidth="1"/>
    <col min="14601" max="14601" width="22.6640625" style="248" customWidth="1"/>
    <col min="14602" max="14607" width="21.33203125" style="248" bestFit="1" customWidth="1"/>
    <col min="14608" max="14608" width="19.5546875" style="248" customWidth="1"/>
    <col min="14609" max="14609" width="21.33203125" style="248" bestFit="1" customWidth="1"/>
    <col min="14610" max="14610" width="22.6640625" style="248" customWidth="1"/>
    <col min="14611" max="14611" width="22" style="248" customWidth="1"/>
    <col min="14612" max="14612" width="23.44140625" style="248" bestFit="1" customWidth="1"/>
    <col min="14613" max="14615" width="9.33203125" style="248"/>
    <col min="14616" max="14616" width="11.33203125" style="248" customWidth="1"/>
    <col min="14617" max="14617" width="10.33203125" style="248" customWidth="1"/>
    <col min="14618" max="14825" width="9.33203125" style="248"/>
    <col min="14826" max="14826" width="2.6640625" style="248" customWidth="1"/>
    <col min="14827" max="14827" width="13.33203125" style="248" customWidth="1"/>
    <col min="14828" max="14828" width="60.33203125" style="248" customWidth="1"/>
    <col min="14829" max="14833" width="10.6640625" style="248" bestFit="1" customWidth="1"/>
    <col min="14834" max="14834" width="11.6640625" style="248" bestFit="1" customWidth="1"/>
    <col min="14835" max="14835" width="14.33203125" style="248" bestFit="1" customWidth="1"/>
    <col min="14836" max="14836" width="17.44140625" style="248" bestFit="1" customWidth="1"/>
    <col min="14837" max="14839" width="17.5546875" style="248" bestFit="1" customWidth="1"/>
    <col min="14840" max="14846" width="21" style="248" bestFit="1" customWidth="1"/>
    <col min="14847" max="14854" width="21.33203125" style="248" bestFit="1" customWidth="1"/>
    <col min="14855" max="14855" width="22.6640625" style="248" customWidth="1"/>
    <col min="14856" max="14856" width="22" style="248" customWidth="1"/>
    <col min="14857" max="14857" width="22.6640625" style="248" customWidth="1"/>
    <col min="14858" max="14863" width="21.33203125" style="248" bestFit="1" customWidth="1"/>
    <col min="14864" max="14864" width="19.5546875" style="248" customWidth="1"/>
    <col min="14865" max="14865" width="21.33203125" style="248" bestFit="1" customWidth="1"/>
    <col min="14866" max="14866" width="22.6640625" style="248" customWidth="1"/>
    <col min="14867" max="14867" width="22" style="248" customWidth="1"/>
    <col min="14868" max="14868" width="23.44140625" style="248" bestFit="1" customWidth="1"/>
    <col min="14869" max="14871" width="9.33203125" style="248"/>
    <col min="14872" max="14872" width="11.33203125" style="248" customWidth="1"/>
    <col min="14873" max="14873" width="10.33203125" style="248" customWidth="1"/>
    <col min="14874" max="15081" width="9.33203125" style="248"/>
    <col min="15082" max="15082" width="2.6640625" style="248" customWidth="1"/>
    <col min="15083" max="15083" width="13.33203125" style="248" customWidth="1"/>
    <col min="15084" max="15084" width="60.33203125" style="248" customWidth="1"/>
    <col min="15085" max="15089" width="10.6640625" style="248" bestFit="1" customWidth="1"/>
    <col min="15090" max="15090" width="11.6640625" style="248" bestFit="1" customWidth="1"/>
    <col min="15091" max="15091" width="14.33203125" style="248" bestFit="1" customWidth="1"/>
    <col min="15092" max="15092" width="17.44140625" style="248" bestFit="1" customWidth="1"/>
    <col min="15093" max="15095" width="17.5546875" style="248" bestFit="1" customWidth="1"/>
    <col min="15096" max="15102" width="21" style="248" bestFit="1" customWidth="1"/>
    <col min="15103" max="15110" width="21.33203125" style="248" bestFit="1" customWidth="1"/>
    <col min="15111" max="15111" width="22.6640625" style="248" customWidth="1"/>
    <col min="15112" max="15112" width="22" style="248" customWidth="1"/>
    <col min="15113" max="15113" width="22.6640625" style="248" customWidth="1"/>
    <col min="15114" max="15119" width="21.33203125" style="248" bestFit="1" customWidth="1"/>
    <col min="15120" max="15120" width="19.5546875" style="248" customWidth="1"/>
    <col min="15121" max="15121" width="21.33203125" style="248" bestFit="1" customWidth="1"/>
    <col min="15122" max="15122" width="22.6640625" style="248" customWidth="1"/>
    <col min="15123" max="15123" width="22" style="248" customWidth="1"/>
    <col min="15124" max="15124" width="23.44140625" style="248" bestFit="1" customWidth="1"/>
    <col min="15125" max="15127" width="9.33203125" style="248"/>
    <col min="15128" max="15128" width="11.33203125" style="248" customWidth="1"/>
    <col min="15129" max="15129" width="10.33203125" style="248" customWidth="1"/>
    <col min="15130" max="15337" width="9.33203125" style="248"/>
    <col min="15338" max="15338" width="2.6640625" style="248" customWidth="1"/>
    <col min="15339" max="15339" width="13.33203125" style="248" customWidth="1"/>
    <col min="15340" max="15340" width="60.33203125" style="248" customWidth="1"/>
    <col min="15341" max="15345" width="10.6640625" style="248" bestFit="1" customWidth="1"/>
    <col min="15346" max="15346" width="11.6640625" style="248" bestFit="1" customWidth="1"/>
    <col min="15347" max="15347" width="14.33203125" style="248" bestFit="1" customWidth="1"/>
    <col min="15348" max="15348" width="17.44140625" style="248" bestFit="1" customWidth="1"/>
    <col min="15349" max="15351" width="17.5546875" style="248" bestFit="1" customWidth="1"/>
    <col min="15352" max="15358" width="21" style="248" bestFit="1" customWidth="1"/>
    <col min="15359" max="15366" width="21.33203125" style="248" bestFit="1" customWidth="1"/>
    <col min="15367" max="15367" width="22.6640625" style="248" customWidth="1"/>
    <col min="15368" max="15368" width="22" style="248" customWidth="1"/>
    <col min="15369" max="15369" width="22.6640625" style="248" customWidth="1"/>
    <col min="15370" max="15375" width="21.33203125" style="248" bestFit="1" customWidth="1"/>
    <col min="15376" max="15376" width="19.5546875" style="248" customWidth="1"/>
    <col min="15377" max="15377" width="21.33203125" style="248" bestFit="1" customWidth="1"/>
    <col min="15378" max="15378" width="22.6640625" style="248" customWidth="1"/>
    <col min="15379" max="15379" width="22" style="248" customWidth="1"/>
    <col min="15380" max="15380" width="23.44140625" style="248" bestFit="1" customWidth="1"/>
    <col min="15381" max="15383" width="9.33203125" style="248"/>
    <col min="15384" max="15384" width="11.33203125" style="248" customWidth="1"/>
    <col min="15385" max="15385" width="10.33203125" style="248" customWidth="1"/>
    <col min="15386" max="15593" width="9.33203125" style="248"/>
    <col min="15594" max="15594" width="2.6640625" style="248" customWidth="1"/>
    <col min="15595" max="15595" width="13.33203125" style="248" customWidth="1"/>
    <col min="15596" max="15596" width="60.33203125" style="248" customWidth="1"/>
    <col min="15597" max="15601" width="10.6640625" style="248" bestFit="1" customWidth="1"/>
    <col min="15602" max="15602" width="11.6640625" style="248" bestFit="1" customWidth="1"/>
    <col min="15603" max="15603" width="14.33203125" style="248" bestFit="1" customWidth="1"/>
    <col min="15604" max="15604" width="17.44140625" style="248" bestFit="1" customWidth="1"/>
    <col min="15605" max="15607" width="17.5546875" style="248" bestFit="1" customWidth="1"/>
    <col min="15608" max="15614" width="21" style="248" bestFit="1" customWidth="1"/>
    <col min="15615" max="15622" width="21.33203125" style="248" bestFit="1" customWidth="1"/>
    <col min="15623" max="15623" width="22.6640625" style="248" customWidth="1"/>
    <col min="15624" max="15624" width="22" style="248" customWidth="1"/>
    <col min="15625" max="15625" width="22.6640625" style="248" customWidth="1"/>
    <col min="15626" max="15631" width="21.33203125" style="248" bestFit="1" customWidth="1"/>
    <col min="15632" max="15632" width="19.5546875" style="248" customWidth="1"/>
    <col min="15633" max="15633" width="21.33203125" style="248" bestFit="1" customWidth="1"/>
    <col min="15634" max="15634" width="22.6640625" style="248" customWidth="1"/>
    <col min="15635" max="15635" width="22" style="248" customWidth="1"/>
    <col min="15636" max="15636" width="23.44140625" style="248" bestFit="1" customWidth="1"/>
    <col min="15637" max="15639" width="9.33203125" style="248"/>
    <col min="15640" max="15640" width="11.33203125" style="248" customWidth="1"/>
    <col min="15641" max="15641" width="10.33203125" style="248" customWidth="1"/>
    <col min="15642" max="15849" width="9.33203125" style="248"/>
    <col min="15850" max="15850" width="2.6640625" style="248" customWidth="1"/>
    <col min="15851" max="15851" width="13.33203125" style="248" customWidth="1"/>
    <col min="15852" max="15852" width="60.33203125" style="248" customWidth="1"/>
    <col min="15853" max="15857" width="10.6640625" style="248" bestFit="1" customWidth="1"/>
    <col min="15858" max="15858" width="11.6640625" style="248" bestFit="1" customWidth="1"/>
    <col min="15859" max="15859" width="14.33203125" style="248" bestFit="1" customWidth="1"/>
    <col min="15860" max="15860" width="17.44140625" style="248" bestFit="1" customWidth="1"/>
    <col min="15861" max="15863" width="17.5546875" style="248" bestFit="1" customWidth="1"/>
    <col min="15864" max="15870" width="21" style="248" bestFit="1" customWidth="1"/>
    <col min="15871" max="15878" width="21.33203125" style="248" bestFit="1" customWidth="1"/>
    <col min="15879" max="15879" width="22.6640625" style="248" customWidth="1"/>
    <col min="15880" max="15880" width="22" style="248" customWidth="1"/>
    <col min="15881" max="15881" width="22.6640625" style="248" customWidth="1"/>
    <col min="15882" max="15887" width="21.33203125" style="248" bestFit="1" customWidth="1"/>
    <col min="15888" max="15888" width="19.5546875" style="248" customWidth="1"/>
    <col min="15889" max="15889" width="21.33203125" style="248" bestFit="1" customWidth="1"/>
    <col min="15890" max="15890" width="22.6640625" style="248" customWidth="1"/>
    <col min="15891" max="15891" width="22" style="248" customWidth="1"/>
    <col min="15892" max="15892" width="23.44140625" style="248" bestFit="1" customWidth="1"/>
    <col min="15893" max="15895" width="9.33203125" style="248"/>
    <col min="15896" max="15896" width="11.33203125" style="248" customWidth="1"/>
    <col min="15897" max="15897" width="10.33203125" style="248" customWidth="1"/>
    <col min="15898" max="16105" width="9.33203125" style="248"/>
    <col min="16106" max="16106" width="2.6640625" style="248" customWidth="1"/>
    <col min="16107" max="16107" width="13.33203125" style="248" customWidth="1"/>
    <col min="16108" max="16108" width="60.33203125" style="248" customWidth="1"/>
    <col min="16109" max="16113" width="10.6640625" style="248" bestFit="1" customWidth="1"/>
    <col min="16114" max="16114" width="11.6640625" style="248" bestFit="1" customWidth="1"/>
    <col min="16115" max="16115" width="14.33203125" style="248" bestFit="1" customWidth="1"/>
    <col min="16116" max="16116" width="17.44140625" style="248" bestFit="1" customWidth="1"/>
    <col min="16117" max="16119" width="17.5546875" style="248" bestFit="1" customWidth="1"/>
    <col min="16120" max="16126" width="21" style="248" bestFit="1" customWidth="1"/>
    <col min="16127" max="16134" width="21.33203125" style="248" bestFit="1" customWidth="1"/>
    <col min="16135" max="16135" width="22.6640625" style="248" customWidth="1"/>
    <col min="16136" max="16136" width="22" style="248" customWidth="1"/>
    <col min="16137" max="16137" width="22.6640625" style="248" customWidth="1"/>
    <col min="16138" max="16143" width="21.33203125" style="248" bestFit="1" customWidth="1"/>
    <col min="16144" max="16144" width="19.5546875" style="248" customWidth="1"/>
    <col min="16145" max="16145" width="21.33203125" style="248" bestFit="1" customWidth="1"/>
    <col min="16146" max="16146" width="22.6640625" style="248" customWidth="1"/>
    <col min="16147" max="16147" width="22" style="248" customWidth="1"/>
    <col min="16148" max="16148" width="23.44140625" style="248" bestFit="1" customWidth="1"/>
    <col min="16149" max="16151" width="9.33203125" style="248"/>
    <col min="16152" max="16152" width="11.33203125" style="248" customWidth="1"/>
    <col min="16153" max="16153" width="10.33203125" style="248" customWidth="1"/>
    <col min="16154" max="16384" width="9.33203125" style="248"/>
  </cols>
  <sheetData>
    <row r="1" spans="2:26" x14ac:dyDescent="0.25">
      <c r="B1" s="247"/>
    </row>
    <row r="2" spans="2:26" x14ac:dyDescent="0.25">
      <c r="B2" s="249"/>
      <c r="C2" s="249"/>
      <c r="D2" s="249"/>
      <c r="E2" s="250"/>
      <c r="F2" s="250"/>
      <c r="G2" s="250"/>
      <c r="H2" s="250"/>
      <c r="I2" s="250"/>
      <c r="J2" s="250"/>
      <c r="K2" s="250"/>
      <c r="L2" s="299" t="s">
        <v>132</v>
      </c>
      <c r="M2" s="250"/>
      <c r="N2" s="250"/>
      <c r="O2" s="250"/>
      <c r="P2" s="249"/>
      <c r="Q2" s="250"/>
      <c r="R2" s="250"/>
      <c r="S2" s="250"/>
      <c r="T2" s="250"/>
      <c r="U2" s="250"/>
      <c r="V2" s="250"/>
      <c r="W2" s="250"/>
      <c r="X2" s="250"/>
      <c r="Y2" s="250"/>
      <c r="Z2" s="250"/>
    </row>
    <row r="3" spans="2:26" x14ac:dyDescent="0.25">
      <c r="B3" s="251"/>
      <c r="C3" s="252"/>
      <c r="E3" s="251"/>
      <c r="F3" s="251"/>
      <c r="G3" s="251"/>
      <c r="H3" s="251"/>
      <c r="I3" s="251"/>
      <c r="J3" s="251"/>
      <c r="K3" s="251"/>
      <c r="L3" s="303" t="s">
        <v>592</v>
      </c>
      <c r="M3" s="251"/>
      <c r="N3" s="251"/>
      <c r="O3" s="251"/>
      <c r="P3" s="251"/>
      <c r="Q3" s="251"/>
      <c r="R3" s="251"/>
      <c r="S3" s="251"/>
      <c r="T3" s="251"/>
      <c r="U3" s="251"/>
      <c r="V3" s="251"/>
      <c r="W3" s="251"/>
      <c r="X3" s="252"/>
      <c r="Y3" s="252"/>
      <c r="Z3" s="252"/>
    </row>
    <row r="4" spans="2:26" x14ac:dyDescent="0.25">
      <c r="B4" s="249"/>
      <c r="C4" s="249"/>
      <c r="D4" s="249"/>
      <c r="E4" s="253"/>
      <c r="F4" s="253"/>
      <c r="G4" s="253"/>
      <c r="H4" s="253"/>
      <c r="I4" s="253"/>
      <c r="J4" s="253"/>
      <c r="K4" s="253"/>
      <c r="L4" s="254" t="s">
        <v>709</v>
      </c>
      <c r="M4" s="253"/>
      <c r="N4" s="253"/>
      <c r="O4" s="253"/>
      <c r="P4" s="249"/>
      <c r="Q4" s="253"/>
      <c r="R4" s="253"/>
      <c r="S4" s="253"/>
      <c r="T4" s="253"/>
      <c r="U4" s="253"/>
      <c r="V4" s="253"/>
      <c r="W4" s="253"/>
      <c r="X4" s="253"/>
      <c r="Y4" s="253"/>
      <c r="Z4" s="253"/>
    </row>
    <row r="5" spans="2:26" x14ac:dyDescent="0.25">
      <c r="B5" s="255"/>
      <c r="C5" s="255"/>
      <c r="D5" s="255"/>
      <c r="E5" s="253"/>
      <c r="F5" s="253"/>
      <c r="G5" s="253"/>
      <c r="H5" s="253"/>
      <c r="I5" s="253"/>
      <c r="J5" s="253"/>
      <c r="K5" s="253"/>
      <c r="L5" s="253"/>
      <c r="M5" s="253"/>
      <c r="N5" s="253"/>
      <c r="O5" s="253"/>
      <c r="P5" s="253"/>
      <c r="Q5" s="253"/>
      <c r="R5" s="253"/>
      <c r="S5" s="253"/>
      <c r="T5" s="253"/>
      <c r="V5" s="253"/>
      <c r="W5" s="253"/>
      <c r="X5" s="253"/>
      <c r="Y5" s="253"/>
      <c r="Z5" s="253"/>
    </row>
    <row r="6" spans="2:26" x14ac:dyDescent="0.25">
      <c r="B6" s="1193" t="s">
        <v>710</v>
      </c>
      <c r="C6" s="256" t="s">
        <v>711</v>
      </c>
      <c r="D6" s="955" t="s">
        <v>712</v>
      </c>
      <c r="E6" s="955"/>
      <c r="F6" s="955"/>
      <c r="G6" s="955"/>
      <c r="H6" s="955" t="s">
        <v>712</v>
      </c>
      <c r="I6" s="955"/>
      <c r="J6" s="955"/>
      <c r="K6" s="955"/>
      <c r="L6" s="955" t="s">
        <v>713</v>
      </c>
      <c r="M6" s="955"/>
      <c r="N6" s="955"/>
      <c r="O6" s="955"/>
      <c r="P6" s="955" t="s">
        <v>714</v>
      </c>
      <c r="Q6" s="955"/>
      <c r="R6" s="955"/>
      <c r="S6" s="955"/>
      <c r="T6" s="257"/>
      <c r="U6" s="253"/>
      <c r="V6" s="253"/>
      <c r="W6" s="253"/>
    </row>
    <row r="7" spans="2:26" x14ac:dyDescent="0.25">
      <c r="B7" s="1194"/>
      <c r="C7" s="258" t="s">
        <v>715</v>
      </c>
      <c r="D7" s="259" t="s">
        <v>716</v>
      </c>
      <c r="E7" s="259" t="s">
        <v>717</v>
      </c>
      <c r="F7" s="259" t="s">
        <v>718</v>
      </c>
      <c r="G7" s="259" t="s">
        <v>719</v>
      </c>
      <c r="H7" s="259" t="s">
        <v>716</v>
      </c>
      <c r="I7" s="259" t="s">
        <v>717</v>
      </c>
      <c r="J7" s="259" t="s">
        <v>718</v>
      </c>
      <c r="K7" s="259" t="s">
        <v>719</v>
      </c>
      <c r="L7" s="259" t="s">
        <v>716</v>
      </c>
      <c r="M7" s="259" t="s">
        <v>717</v>
      </c>
      <c r="N7" s="259" t="s">
        <v>718</v>
      </c>
      <c r="O7" s="259" t="s">
        <v>719</v>
      </c>
      <c r="P7" s="259" t="s">
        <v>716</v>
      </c>
      <c r="Q7" s="259" t="s">
        <v>717</v>
      </c>
      <c r="R7" s="259" t="s">
        <v>718</v>
      </c>
      <c r="S7" s="259" t="s">
        <v>719</v>
      </c>
      <c r="T7" s="259" t="s">
        <v>180</v>
      </c>
      <c r="U7" s="253"/>
      <c r="V7" s="253"/>
    </row>
    <row r="8" spans="2:26" x14ac:dyDescent="0.25">
      <c r="B8" s="1195"/>
      <c r="C8" s="256" t="s">
        <v>720</v>
      </c>
      <c r="D8" s="260"/>
      <c r="E8" s="260"/>
      <c r="F8" s="260"/>
      <c r="G8" s="260"/>
      <c r="H8" s="260"/>
      <c r="I8" s="260"/>
      <c r="J8" s="260"/>
      <c r="K8" s="260"/>
      <c r="L8" s="260"/>
      <c r="M8" s="260"/>
      <c r="N8" s="260"/>
      <c r="O8" s="260"/>
      <c r="P8" s="260"/>
      <c r="Q8" s="260"/>
      <c r="R8" s="260"/>
      <c r="S8" s="260"/>
      <c r="T8" s="260"/>
      <c r="U8" s="253"/>
      <c r="V8" s="253"/>
    </row>
    <row r="9" spans="2:26" x14ac:dyDescent="0.25">
      <c r="B9" s="261"/>
      <c r="C9" s="261"/>
      <c r="D9" s="261"/>
      <c r="E9" s="261"/>
      <c r="F9" s="261"/>
      <c r="G9" s="261"/>
      <c r="H9" s="261"/>
      <c r="I9" s="261"/>
      <c r="J9" s="261"/>
      <c r="K9" s="261"/>
      <c r="L9" s="261"/>
      <c r="M9" s="261"/>
      <c r="N9" s="261"/>
      <c r="O9" s="261"/>
      <c r="P9" s="261"/>
      <c r="Q9" s="261"/>
      <c r="R9" s="261"/>
      <c r="S9" s="261"/>
      <c r="T9" s="261"/>
      <c r="U9" s="253"/>
      <c r="V9" s="253"/>
    </row>
    <row r="10" spans="2:26" x14ac:dyDescent="0.25">
      <c r="B10" s="262">
        <v>1.1000000000000001</v>
      </c>
      <c r="C10" s="263" t="s">
        <v>442</v>
      </c>
      <c r="D10" s="261"/>
      <c r="E10" s="261"/>
      <c r="F10" s="261"/>
      <c r="G10" s="261"/>
      <c r="H10" s="261"/>
      <c r="I10" s="261"/>
      <c r="J10" s="261"/>
      <c r="K10" s="261"/>
      <c r="L10" s="261"/>
      <c r="M10" s="261"/>
      <c r="N10" s="261"/>
      <c r="O10" s="261"/>
      <c r="P10" s="261"/>
      <c r="Q10" s="261"/>
      <c r="R10" s="261"/>
      <c r="S10" s="261"/>
      <c r="T10" s="261"/>
      <c r="U10" s="253"/>
      <c r="V10" s="253"/>
    </row>
    <row r="11" spans="2:26" x14ac:dyDescent="0.25">
      <c r="B11" s="261"/>
      <c r="C11" s="261" t="s">
        <v>721</v>
      </c>
      <c r="D11" s="264"/>
      <c r="E11" s="264"/>
      <c r="F11" s="264"/>
      <c r="G11" s="264"/>
      <c r="H11" s="264"/>
      <c r="I11" s="264"/>
      <c r="J11" s="264"/>
      <c r="K11" s="264"/>
      <c r="L11" s="264"/>
      <c r="M11" s="264"/>
      <c r="N11" s="264"/>
      <c r="O11" s="264"/>
      <c r="P11" s="264"/>
      <c r="Q11" s="264"/>
      <c r="R11" s="264"/>
      <c r="S11" s="264"/>
      <c r="T11" s="265"/>
      <c r="U11" s="253"/>
      <c r="V11" s="253"/>
    </row>
    <row r="12" spans="2:26" x14ac:dyDescent="0.25">
      <c r="B12" s="261"/>
      <c r="C12" s="261" t="s">
        <v>722</v>
      </c>
      <c r="D12" s="266"/>
      <c r="E12" s="266"/>
      <c r="F12" s="266"/>
      <c r="G12" s="266"/>
      <c r="H12" s="266"/>
      <c r="I12" s="266"/>
      <c r="J12" s="266"/>
      <c r="K12" s="266"/>
      <c r="L12" s="266"/>
      <c r="M12" s="266"/>
      <c r="N12" s="266"/>
      <c r="O12" s="266"/>
      <c r="P12" s="266"/>
      <c r="Q12" s="266"/>
      <c r="R12" s="266"/>
      <c r="S12" s="266"/>
      <c r="T12" s="265"/>
      <c r="U12" s="253"/>
      <c r="V12" s="253"/>
    </row>
    <row r="13" spans="2:26" x14ac:dyDescent="0.25">
      <c r="B13" s="261"/>
      <c r="C13" s="261" t="s">
        <v>278</v>
      </c>
      <c r="D13" s="264"/>
      <c r="E13" s="264"/>
      <c r="F13" s="264"/>
      <c r="G13" s="264"/>
      <c r="H13" s="264"/>
      <c r="I13" s="264"/>
      <c r="J13" s="264"/>
      <c r="K13" s="264"/>
      <c r="L13" s="264"/>
      <c r="M13" s="264"/>
      <c r="N13" s="264"/>
      <c r="O13" s="264"/>
      <c r="P13" s="264"/>
      <c r="Q13" s="264"/>
      <c r="R13" s="264"/>
      <c r="S13" s="264"/>
      <c r="T13" s="267"/>
      <c r="U13" s="268"/>
      <c r="V13" s="253"/>
    </row>
    <row r="14" spans="2:26" x14ac:dyDescent="0.25">
      <c r="B14" s="261"/>
      <c r="C14" s="261" t="s">
        <v>723</v>
      </c>
      <c r="D14" s="264"/>
      <c r="E14" s="264"/>
      <c r="F14" s="264"/>
      <c r="G14" s="264"/>
      <c r="H14" s="264"/>
      <c r="I14" s="264"/>
      <c r="J14" s="264"/>
      <c r="K14" s="264"/>
      <c r="L14" s="264"/>
      <c r="M14" s="264"/>
      <c r="N14" s="264"/>
      <c r="O14" s="264"/>
      <c r="P14" s="264"/>
      <c r="Q14" s="264"/>
      <c r="R14" s="264"/>
      <c r="S14" s="264"/>
      <c r="T14" s="265"/>
      <c r="U14" s="253"/>
      <c r="V14" s="253"/>
    </row>
    <row r="15" spans="2:26" x14ac:dyDescent="0.25">
      <c r="B15" s="261"/>
      <c r="C15" s="261" t="s">
        <v>724</v>
      </c>
      <c r="D15" s="264"/>
      <c r="E15" s="264"/>
      <c r="F15" s="264"/>
      <c r="G15" s="264"/>
      <c r="H15" s="264"/>
      <c r="I15" s="264"/>
      <c r="J15" s="264"/>
      <c r="K15" s="264"/>
      <c r="L15" s="264"/>
      <c r="M15" s="264"/>
      <c r="N15" s="264"/>
      <c r="O15" s="264"/>
      <c r="P15" s="264"/>
      <c r="Q15" s="264"/>
      <c r="R15" s="264"/>
      <c r="S15" s="264"/>
      <c r="T15" s="265"/>
      <c r="U15" s="253"/>
      <c r="V15" s="253"/>
    </row>
    <row r="16" spans="2:26" x14ac:dyDescent="0.25">
      <c r="B16" s="261"/>
      <c r="C16" s="261"/>
      <c r="D16" s="264"/>
      <c r="E16" s="264"/>
      <c r="F16" s="264"/>
      <c r="G16" s="264"/>
      <c r="H16" s="264"/>
      <c r="I16" s="264"/>
      <c r="J16" s="264"/>
      <c r="K16" s="264"/>
      <c r="L16" s="264"/>
      <c r="M16" s="264"/>
      <c r="N16" s="264"/>
      <c r="O16" s="264"/>
      <c r="P16" s="264"/>
      <c r="Q16" s="264"/>
      <c r="R16" s="264"/>
      <c r="S16" s="264"/>
      <c r="T16" s="265"/>
      <c r="U16" s="253"/>
      <c r="V16" s="253"/>
    </row>
    <row r="17" spans="2:22" s="272" customFormat="1" x14ac:dyDescent="0.25">
      <c r="B17" s="263">
        <v>1.2</v>
      </c>
      <c r="C17" s="263" t="s">
        <v>449</v>
      </c>
      <c r="D17" s="269"/>
      <c r="E17" s="269"/>
      <c r="F17" s="269"/>
      <c r="G17" s="269"/>
      <c r="H17" s="269"/>
      <c r="I17" s="269"/>
      <c r="J17" s="269"/>
      <c r="K17" s="269"/>
      <c r="L17" s="269"/>
      <c r="M17" s="269"/>
      <c r="N17" s="269"/>
      <c r="O17" s="269"/>
      <c r="P17" s="269"/>
      <c r="Q17" s="269"/>
      <c r="R17" s="269"/>
      <c r="S17" s="269"/>
      <c r="T17" s="270"/>
      <c r="U17" s="271"/>
      <c r="V17" s="271"/>
    </row>
    <row r="18" spans="2:22" x14ac:dyDescent="0.25">
      <c r="B18" s="261"/>
      <c r="C18" s="261" t="s">
        <v>721</v>
      </c>
      <c r="D18" s="265"/>
      <c r="E18" s="265"/>
      <c r="F18" s="265"/>
      <c r="G18" s="265"/>
      <c r="H18" s="265"/>
      <c r="I18" s="265"/>
      <c r="J18" s="265"/>
      <c r="K18" s="265"/>
      <c r="L18" s="265"/>
      <c r="M18" s="265"/>
      <c r="N18" s="265"/>
      <c r="O18" s="265"/>
      <c r="P18" s="265"/>
      <c r="Q18" s="265"/>
      <c r="R18" s="265"/>
      <c r="S18" s="265"/>
      <c r="T18" s="265"/>
      <c r="U18" s="253"/>
      <c r="V18" s="253"/>
    </row>
    <row r="19" spans="2:22" x14ac:dyDescent="0.25">
      <c r="B19" s="261"/>
      <c r="C19" s="261" t="s">
        <v>722</v>
      </c>
      <c r="D19" s="273"/>
      <c r="E19" s="273"/>
      <c r="F19" s="273"/>
      <c r="G19" s="273"/>
      <c r="H19" s="273"/>
      <c r="I19" s="273"/>
      <c r="J19" s="273"/>
      <c r="K19" s="273"/>
      <c r="L19" s="273"/>
      <c r="M19" s="273"/>
      <c r="N19" s="273"/>
      <c r="O19" s="273"/>
      <c r="P19" s="273"/>
      <c r="Q19" s="273"/>
      <c r="R19" s="273"/>
      <c r="S19" s="273"/>
      <c r="T19" s="265"/>
      <c r="U19" s="253"/>
      <c r="V19" s="253"/>
    </row>
    <row r="20" spans="2:22" x14ac:dyDescent="0.25">
      <c r="B20" s="261"/>
      <c r="C20" s="261" t="s">
        <v>278</v>
      </c>
      <c r="D20" s="265"/>
      <c r="E20" s="265"/>
      <c r="F20" s="265"/>
      <c r="G20" s="265"/>
      <c r="H20" s="265"/>
      <c r="I20" s="265"/>
      <c r="J20" s="265"/>
      <c r="K20" s="265"/>
      <c r="L20" s="265"/>
      <c r="M20" s="265"/>
      <c r="N20" s="265"/>
      <c r="O20" s="265"/>
      <c r="P20" s="265"/>
      <c r="Q20" s="265"/>
      <c r="R20" s="265"/>
      <c r="S20" s="265"/>
      <c r="T20" s="267"/>
      <c r="U20" s="268"/>
      <c r="V20" s="253"/>
    </row>
    <row r="21" spans="2:22" x14ac:dyDescent="0.25">
      <c r="B21" s="261"/>
      <c r="C21" s="261" t="s">
        <v>723</v>
      </c>
      <c r="D21" s="265"/>
      <c r="E21" s="265"/>
      <c r="F21" s="265"/>
      <c r="G21" s="265"/>
      <c r="H21" s="265"/>
      <c r="I21" s="265"/>
      <c r="J21" s="265"/>
      <c r="K21" s="265"/>
      <c r="L21" s="265"/>
      <c r="M21" s="265"/>
      <c r="N21" s="265"/>
      <c r="O21" s="265"/>
      <c r="P21" s="265"/>
      <c r="Q21" s="265"/>
      <c r="R21" s="265"/>
      <c r="S21" s="265"/>
      <c r="T21" s="265"/>
      <c r="U21" s="253"/>
      <c r="V21" s="253"/>
    </row>
    <row r="22" spans="2:22" x14ac:dyDescent="0.25">
      <c r="B22" s="261"/>
      <c r="C22" s="261" t="s">
        <v>724</v>
      </c>
      <c r="D22" s="265"/>
      <c r="E22" s="265"/>
      <c r="F22" s="265"/>
      <c r="G22" s="265"/>
      <c r="H22" s="265"/>
      <c r="I22" s="265"/>
      <c r="J22" s="265"/>
      <c r="K22" s="265"/>
      <c r="L22" s="265"/>
      <c r="M22" s="265"/>
      <c r="N22" s="265"/>
      <c r="O22" s="265"/>
      <c r="P22" s="265"/>
      <c r="Q22" s="265"/>
      <c r="R22" s="265"/>
      <c r="S22" s="265"/>
      <c r="T22" s="265"/>
      <c r="U22" s="253"/>
      <c r="V22" s="253"/>
    </row>
    <row r="23" spans="2:22" x14ac:dyDescent="0.25">
      <c r="B23" s="261"/>
      <c r="C23" s="261"/>
      <c r="D23" s="265"/>
      <c r="E23" s="265"/>
      <c r="F23" s="265"/>
      <c r="G23" s="265"/>
      <c r="H23" s="265"/>
      <c r="I23" s="265"/>
      <c r="J23" s="265"/>
      <c r="K23" s="265"/>
      <c r="L23" s="265"/>
      <c r="M23" s="265"/>
      <c r="N23" s="265"/>
      <c r="O23" s="265"/>
      <c r="P23" s="265"/>
      <c r="Q23" s="265"/>
      <c r="R23" s="265"/>
      <c r="S23" s="265"/>
      <c r="T23" s="265"/>
      <c r="U23" s="253"/>
      <c r="V23" s="253"/>
    </row>
    <row r="24" spans="2:22" x14ac:dyDescent="0.25">
      <c r="B24" s="263">
        <v>1.3</v>
      </c>
      <c r="C24" s="263" t="s">
        <v>725</v>
      </c>
      <c r="D24" s="265"/>
      <c r="E24" s="265"/>
      <c r="F24" s="265"/>
      <c r="G24" s="265"/>
      <c r="H24" s="265"/>
      <c r="I24" s="265"/>
      <c r="J24" s="265"/>
      <c r="K24" s="265"/>
      <c r="L24" s="265"/>
      <c r="M24" s="265"/>
      <c r="N24" s="265"/>
      <c r="O24" s="265"/>
      <c r="P24" s="265"/>
      <c r="Q24" s="265"/>
      <c r="R24" s="265"/>
      <c r="S24" s="265"/>
      <c r="T24" s="265"/>
      <c r="U24" s="253"/>
      <c r="V24" s="253"/>
    </row>
    <row r="25" spans="2:22" x14ac:dyDescent="0.25">
      <c r="B25" s="261"/>
      <c r="C25" s="261" t="s">
        <v>721</v>
      </c>
      <c r="D25" s="265"/>
      <c r="E25" s="265"/>
      <c r="F25" s="265"/>
      <c r="G25" s="265"/>
      <c r="H25" s="265"/>
      <c r="I25" s="265"/>
      <c r="J25" s="265"/>
      <c r="K25" s="265"/>
      <c r="L25" s="265"/>
      <c r="M25" s="265"/>
      <c r="N25" s="265"/>
      <c r="O25" s="265"/>
      <c r="P25" s="265"/>
      <c r="Q25" s="265"/>
      <c r="R25" s="265"/>
      <c r="S25" s="265"/>
      <c r="T25" s="265"/>
      <c r="U25" s="253"/>
      <c r="V25" s="253"/>
    </row>
    <row r="26" spans="2:22" x14ac:dyDescent="0.25">
      <c r="B26" s="261"/>
      <c r="C26" s="261" t="s">
        <v>722</v>
      </c>
      <c r="D26" s="273"/>
      <c r="E26" s="273"/>
      <c r="F26" s="273"/>
      <c r="G26" s="273"/>
      <c r="H26" s="273"/>
      <c r="I26" s="273"/>
      <c r="J26" s="273"/>
      <c r="K26" s="273"/>
      <c r="L26" s="273"/>
      <c r="M26" s="273"/>
      <c r="N26" s="273"/>
      <c r="O26" s="273"/>
      <c r="P26" s="273"/>
      <c r="Q26" s="273"/>
      <c r="R26" s="273"/>
      <c r="S26" s="273"/>
      <c r="T26" s="267"/>
      <c r="U26" s="253"/>
      <c r="V26" s="253"/>
    </row>
    <row r="27" spans="2:22" x14ac:dyDescent="0.25">
      <c r="B27" s="261"/>
      <c r="C27" s="261" t="s">
        <v>278</v>
      </c>
      <c r="D27" s="265"/>
      <c r="E27" s="265"/>
      <c r="F27" s="265"/>
      <c r="G27" s="265"/>
      <c r="H27" s="265"/>
      <c r="I27" s="265"/>
      <c r="J27" s="265"/>
      <c r="K27" s="265"/>
      <c r="L27" s="265"/>
      <c r="M27" s="265"/>
      <c r="N27" s="265"/>
      <c r="O27" s="265"/>
      <c r="P27" s="265"/>
      <c r="Q27" s="265"/>
      <c r="R27" s="265"/>
      <c r="S27" s="265"/>
      <c r="T27" s="267"/>
      <c r="U27" s="268"/>
      <c r="V27" s="253"/>
    </row>
    <row r="28" spans="2:22" x14ac:dyDescent="0.25">
      <c r="B28" s="261"/>
      <c r="C28" s="261" t="s">
        <v>723</v>
      </c>
      <c r="D28" s="265"/>
      <c r="E28" s="265"/>
      <c r="F28" s="265"/>
      <c r="G28" s="265"/>
      <c r="H28" s="265"/>
      <c r="I28" s="265"/>
      <c r="J28" s="265"/>
      <c r="K28" s="265"/>
      <c r="L28" s="265"/>
      <c r="M28" s="265"/>
      <c r="N28" s="265"/>
      <c r="O28" s="265"/>
      <c r="P28" s="265"/>
      <c r="Q28" s="265"/>
      <c r="R28" s="265"/>
      <c r="S28" s="265"/>
      <c r="T28" s="265"/>
      <c r="U28" s="253"/>
      <c r="V28" s="253"/>
    </row>
    <row r="29" spans="2:22" x14ac:dyDescent="0.25">
      <c r="B29" s="261"/>
      <c r="C29" s="261" t="s">
        <v>724</v>
      </c>
      <c r="D29" s="265"/>
      <c r="E29" s="265"/>
      <c r="F29" s="265"/>
      <c r="G29" s="265"/>
      <c r="H29" s="265"/>
      <c r="I29" s="265"/>
      <c r="J29" s="265"/>
      <c r="K29" s="265"/>
      <c r="L29" s="265"/>
      <c r="M29" s="265"/>
      <c r="N29" s="265"/>
      <c r="O29" s="265"/>
      <c r="P29" s="265"/>
      <c r="Q29" s="265"/>
      <c r="R29" s="265"/>
      <c r="S29" s="265"/>
      <c r="T29" s="265"/>
      <c r="U29" s="253"/>
      <c r="V29" s="253"/>
    </row>
    <row r="30" spans="2:22" x14ac:dyDescent="0.25">
      <c r="B30" s="261"/>
      <c r="C30" s="261"/>
      <c r="D30" s="265"/>
      <c r="E30" s="265"/>
      <c r="F30" s="265"/>
      <c r="G30" s="265"/>
      <c r="H30" s="265"/>
      <c r="I30" s="265"/>
      <c r="J30" s="265"/>
      <c r="K30" s="265"/>
      <c r="L30" s="265"/>
      <c r="M30" s="265"/>
      <c r="N30" s="265"/>
      <c r="O30" s="265"/>
      <c r="P30" s="265"/>
      <c r="Q30" s="265"/>
      <c r="R30" s="265"/>
      <c r="S30" s="265"/>
      <c r="T30" s="265"/>
      <c r="U30" s="253"/>
      <c r="V30" s="253"/>
    </row>
    <row r="31" spans="2:22" x14ac:dyDescent="0.25">
      <c r="B31" s="261"/>
      <c r="C31" s="261"/>
      <c r="D31" s="265"/>
      <c r="E31" s="265"/>
      <c r="F31" s="265"/>
      <c r="G31" s="265"/>
      <c r="H31" s="265"/>
      <c r="I31" s="265"/>
      <c r="J31" s="265"/>
      <c r="K31" s="265"/>
      <c r="L31" s="265"/>
      <c r="M31" s="265"/>
      <c r="N31" s="265"/>
      <c r="O31" s="265"/>
      <c r="P31" s="265"/>
      <c r="Q31" s="265"/>
      <c r="R31" s="265"/>
      <c r="S31" s="265"/>
      <c r="T31" s="265"/>
      <c r="U31" s="253"/>
      <c r="V31" s="253"/>
    </row>
    <row r="32" spans="2:22" x14ac:dyDescent="0.25">
      <c r="B32" s="262">
        <v>1.4</v>
      </c>
      <c r="C32" s="263" t="s">
        <v>726</v>
      </c>
      <c r="D32" s="265"/>
      <c r="E32" s="265"/>
      <c r="F32" s="265"/>
      <c r="G32" s="265"/>
      <c r="H32" s="265"/>
      <c r="I32" s="265"/>
      <c r="J32" s="265"/>
      <c r="K32" s="265"/>
      <c r="L32" s="265"/>
      <c r="M32" s="265"/>
      <c r="N32" s="265"/>
      <c r="O32" s="265"/>
      <c r="P32" s="265"/>
      <c r="Q32" s="265"/>
      <c r="R32" s="265"/>
      <c r="S32" s="265"/>
      <c r="T32" s="265"/>
      <c r="U32" s="253"/>
      <c r="V32" s="253"/>
    </row>
    <row r="33" spans="2:22" x14ac:dyDescent="0.25">
      <c r="B33" s="261"/>
      <c r="C33" s="261" t="s">
        <v>721</v>
      </c>
      <c r="D33" s="273"/>
      <c r="E33" s="273"/>
      <c r="F33" s="273"/>
      <c r="G33" s="273"/>
      <c r="H33" s="273"/>
      <c r="I33" s="273"/>
      <c r="J33" s="273"/>
      <c r="K33" s="273"/>
      <c r="L33" s="273"/>
      <c r="M33" s="273"/>
      <c r="N33" s="273"/>
      <c r="O33" s="273"/>
      <c r="P33" s="273"/>
      <c r="Q33" s="273"/>
      <c r="R33" s="273"/>
      <c r="S33" s="273"/>
      <c r="T33" s="265"/>
      <c r="U33" s="253"/>
      <c r="V33" s="253"/>
    </row>
    <row r="34" spans="2:22" x14ac:dyDescent="0.25">
      <c r="B34" s="261"/>
      <c r="C34" s="261" t="s">
        <v>722</v>
      </c>
      <c r="D34" s="273"/>
      <c r="E34" s="273"/>
      <c r="F34" s="273"/>
      <c r="G34" s="273"/>
      <c r="H34" s="273"/>
      <c r="I34" s="273"/>
      <c r="J34" s="273"/>
      <c r="K34" s="273"/>
      <c r="L34" s="273"/>
      <c r="M34" s="273"/>
      <c r="N34" s="273"/>
      <c r="O34" s="273"/>
      <c r="P34" s="273"/>
      <c r="Q34" s="273"/>
      <c r="R34" s="273"/>
      <c r="S34" s="273"/>
      <c r="T34" s="265"/>
      <c r="U34" s="253"/>
      <c r="V34" s="253"/>
    </row>
    <row r="35" spans="2:22" x14ac:dyDescent="0.25">
      <c r="B35" s="261"/>
      <c r="C35" s="261" t="s">
        <v>278</v>
      </c>
      <c r="D35" s="273"/>
      <c r="E35" s="273"/>
      <c r="F35" s="273"/>
      <c r="G35" s="273"/>
      <c r="H35" s="273"/>
      <c r="I35" s="273"/>
      <c r="J35" s="273"/>
      <c r="K35" s="273"/>
      <c r="L35" s="273"/>
      <c r="M35" s="273"/>
      <c r="N35" s="273"/>
      <c r="O35" s="273"/>
      <c r="P35" s="273"/>
      <c r="Q35" s="273"/>
      <c r="R35" s="273"/>
      <c r="S35" s="273"/>
      <c r="T35" s="265"/>
      <c r="U35" s="253"/>
      <c r="V35" s="253"/>
    </row>
    <row r="36" spans="2:22" x14ac:dyDescent="0.25">
      <c r="B36" s="261"/>
      <c r="C36" s="261" t="s">
        <v>723</v>
      </c>
      <c r="D36" s="273"/>
      <c r="E36" s="273"/>
      <c r="F36" s="273"/>
      <c r="G36" s="273"/>
      <c r="H36" s="273"/>
      <c r="I36" s="273"/>
      <c r="J36" s="273"/>
      <c r="K36" s="273"/>
      <c r="L36" s="273"/>
      <c r="M36" s="273"/>
      <c r="N36" s="273"/>
      <c r="O36" s="273"/>
      <c r="P36" s="273"/>
      <c r="Q36" s="273"/>
      <c r="R36" s="273"/>
      <c r="S36" s="273"/>
      <c r="T36" s="265"/>
      <c r="U36" s="253"/>
      <c r="V36" s="253"/>
    </row>
    <row r="37" spans="2:22" x14ac:dyDescent="0.25">
      <c r="B37" s="261"/>
      <c r="C37" s="261" t="s">
        <v>724</v>
      </c>
      <c r="D37" s="265"/>
      <c r="E37" s="265"/>
      <c r="F37" s="265"/>
      <c r="G37" s="265"/>
      <c r="H37" s="265"/>
      <c r="I37" s="265"/>
      <c r="J37" s="265"/>
      <c r="K37" s="265"/>
      <c r="L37" s="265"/>
      <c r="M37" s="265"/>
      <c r="N37" s="265"/>
      <c r="O37" s="265"/>
      <c r="P37" s="265"/>
      <c r="Q37" s="265"/>
      <c r="R37" s="265"/>
      <c r="S37" s="265"/>
      <c r="T37" s="265"/>
      <c r="U37" s="253"/>
      <c r="V37" s="253"/>
    </row>
    <row r="38" spans="2:22" x14ac:dyDescent="0.25">
      <c r="B38" s="261"/>
      <c r="C38" s="261"/>
      <c r="D38" s="265"/>
      <c r="E38" s="265"/>
      <c r="F38" s="265"/>
      <c r="G38" s="265"/>
      <c r="H38" s="265"/>
      <c r="I38" s="265"/>
      <c r="J38" s="265"/>
      <c r="K38" s="265"/>
      <c r="L38" s="265"/>
      <c r="M38" s="265"/>
      <c r="N38" s="265"/>
      <c r="O38" s="265"/>
      <c r="P38" s="265"/>
      <c r="Q38" s="265"/>
      <c r="R38" s="265"/>
      <c r="S38" s="265"/>
      <c r="T38" s="265"/>
      <c r="U38" s="253"/>
      <c r="V38" s="253"/>
    </row>
    <row r="39" spans="2:22" x14ac:dyDescent="0.25">
      <c r="B39" s="261">
        <v>2</v>
      </c>
      <c r="C39" s="263" t="s">
        <v>727</v>
      </c>
      <c r="D39" s="265"/>
      <c r="E39" s="265"/>
      <c r="F39" s="265"/>
      <c r="G39" s="265"/>
      <c r="H39" s="265"/>
      <c r="I39" s="265"/>
      <c r="J39" s="265"/>
      <c r="K39" s="265"/>
      <c r="L39" s="265"/>
      <c r="M39" s="265"/>
      <c r="N39" s="265"/>
      <c r="O39" s="265"/>
      <c r="P39" s="265"/>
      <c r="Q39" s="265"/>
      <c r="R39" s="265"/>
      <c r="S39" s="265"/>
      <c r="T39" s="274">
        <f>SUM(D39:S39)</f>
        <v>0</v>
      </c>
      <c r="U39" s="253"/>
      <c r="V39" s="253"/>
    </row>
    <row r="40" spans="2:22" x14ac:dyDescent="0.25">
      <c r="B40" s="261"/>
      <c r="C40" s="263" t="s">
        <v>728</v>
      </c>
      <c r="D40" s="273"/>
      <c r="E40" s="273"/>
      <c r="F40" s="273"/>
      <c r="G40" s="273"/>
      <c r="H40" s="273"/>
      <c r="I40" s="273"/>
      <c r="J40" s="273"/>
      <c r="K40" s="273"/>
      <c r="L40" s="273"/>
      <c r="M40" s="273"/>
      <c r="N40" s="273"/>
      <c r="O40" s="273"/>
      <c r="P40" s="273"/>
      <c r="Q40" s="273"/>
      <c r="R40" s="273"/>
      <c r="S40" s="273"/>
      <c r="T40" s="265"/>
      <c r="U40" s="253"/>
      <c r="V40" s="253"/>
    </row>
    <row r="41" spans="2:22" x14ac:dyDescent="0.25">
      <c r="B41" s="261"/>
      <c r="C41" s="263" t="s">
        <v>729</v>
      </c>
      <c r="D41" s="273"/>
      <c r="E41" s="273"/>
      <c r="F41" s="273"/>
      <c r="G41" s="273"/>
      <c r="H41" s="273"/>
      <c r="I41" s="273"/>
      <c r="J41" s="273"/>
      <c r="K41" s="273"/>
      <c r="L41" s="273"/>
      <c r="M41" s="273"/>
      <c r="N41" s="273"/>
      <c r="O41" s="273"/>
      <c r="P41" s="273"/>
      <c r="Q41" s="273"/>
      <c r="R41" s="273"/>
      <c r="S41" s="273"/>
      <c r="T41" s="265"/>
      <c r="U41" s="253"/>
      <c r="V41" s="253"/>
    </row>
    <row r="42" spans="2:22" x14ac:dyDescent="0.25">
      <c r="B42" s="261"/>
      <c r="C42" s="263" t="s">
        <v>730</v>
      </c>
      <c r="D42" s="273"/>
      <c r="E42" s="273"/>
      <c r="F42" s="273"/>
      <c r="G42" s="273"/>
      <c r="H42" s="273"/>
      <c r="I42" s="273"/>
      <c r="J42" s="273"/>
      <c r="K42" s="273"/>
      <c r="L42" s="273"/>
      <c r="M42" s="273"/>
      <c r="N42" s="273"/>
      <c r="O42" s="273"/>
      <c r="P42" s="273"/>
      <c r="Q42" s="273"/>
      <c r="R42" s="273"/>
      <c r="S42" s="273"/>
      <c r="T42" s="265"/>
      <c r="U42" s="268"/>
      <c r="V42" s="253"/>
    </row>
    <row r="43" spans="2:22" x14ac:dyDescent="0.25">
      <c r="I43" s="253"/>
      <c r="J43" s="253"/>
      <c r="K43" s="253"/>
      <c r="L43" s="253"/>
      <c r="M43" s="253"/>
      <c r="N43" s="253"/>
      <c r="U43" s="253"/>
      <c r="V43" s="253"/>
    </row>
    <row r="44" spans="2:22" x14ac:dyDescent="0.25">
      <c r="B44" s="169" t="s">
        <v>597</v>
      </c>
      <c r="I44" s="253"/>
      <c r="J44" s="253"/>
      <c r="K44" s="253"/>
      <c r="L44" s="253"/>
      <c r="M44" s="253"/>
      <c r="N44" s="253"/>
      <c r="U44" s="253"/>
      <c r="V44" s="253"/>
    </row>
    <row r="45" spans="2:22" x14ac:dyDescent="0.25">
      <c r="I45" s="253"/>
      <c r="J45" s="253"/>
      <c r="K45" s="253"/>
      <c r="L45" s="253"/>
      <c r="M45" s="253"/>
      <c r="N45" s="253"/>
      <c r="U45" s="253"/>
      <c r="V45" s="253"/>
    </row>
    <row r="46" spans="2:22" x14ac:dyDescent="0.25">
      <c r="I46" s="253"/>
      <c r="J46" s="253"/>
      <c r="K46" s="253"/>
      <c r="L46" s="253"/>
      <c r="M46" s="253"/>
      <c r="N46" s="253"/>
      <c r="U46" s="253"/>
      <c r="V46" s="253"/>
    </row>
    <row r="47" spans="2:22" x14ac:dyDescent="0.25">
      <c r="I47" s="253"/>
      <c r="J47" s="253"/>
      <c r="K47" s="253"/>
      <c r="L47" s="253"/>
      <c r="M47" s="253"/>
      <c r="N47" s="253"/>
      <c r="O47" s="253"/>
      <c r="P47" s="253"/>
      <c r="Q47" s="253"/>
      <c r="R47" s="253"/>
      <c r="S47" s="253"/>
      <c r="U47" s="253"/>
      <c r="V47" s="253"/>
    </row>
    <row r="48" spans="2:22" x14ac:dyDescent="0.25">
      <c r="K48" s="253"/>
      <c r="L48" s="253"/>
      <c r="M48" s="253"/>
      <c r="N48" s="253"/>
      <c r="O48" s="253"/>
      <c r="P48" s="253"/>
      <c r="Q48" s="253"/>
      <c r="R48" s="253"/>
      <c r="S48" s="253"/>
      <c r="U48" s="253"/>
      <c r="V48" s="253"/>
    </row>
    <row r="49" spans="9:22" x14ac:dyDescent="0.25">
      <c r="K49" s="253"/>
      <c r="L49" s="253"/>
      <c r="M49" s="253"/>
      <c r="N49" s="253"/>
      <c r="O49" s="253"/>
      <c r="P49" s="253"/>
      <c r="Q49" s="253"/>
      <c r="R49" s="253"/>
      <c r="S49" s="253"/>
      <c r="U49" s="253"/>
      <c r="V49" s="253"/>
    </row>
    <row r="50" spans="9:22" x14ac:dyDescent="0.25">
      <c r="K50" s="253"/>
      <c r="L50" s="253"/>
      <c r="M50" s="253"/>
      <c r="N50" s="253"/>
      <c r="O50" s="253"/>
      <c r="P50" s="253"/>
      <c r="Q50" s="253"/>
      <c r="R50" s="253"/>
      <c r="S50" s="253"/>
    </row>
    <row r="51" spans="9:22" x14ac:dyDescent="0.25">
      <c r="I51" s="275"/>
      <c r="K51" s="268"/>
      <c r="L51" s="253"/>
      <c r="M51" s="253"/>
      <c r="N51" s="253"/>
      <c r="O51" s="253"/>
      <c r="P51" s="253"/>
      <c r="Q51" s="253"/>
      <c r="R51" s="253"/>
      <c r="S51" s="253"/>
    </row>
    <row r="52" spans="9:22" x14ac:dyDescent="0.25">
      <c r="I52" s="275"/>
      <c r="K52" s="268"/>
      <c r="L52" s="253"/>
      <c r="M52" s="253"/>
      <c r="N52" s="253"/>
      <c r="O52" s="253"/>
      <c r="P52" s="253"/>
      <c r="Q52" s="253"/>
      <c r="R52" s="253"/>
      <c r="S52" s="253"/>
    </row>
    <row r="53" spans="9:22" x14ac:dyDescent="0.25">
      <c r="I53" s="275"/>
      <c r="K53" s="268"/>
      <c r="L53" s="253"/>
      <c r="M53" s="253"/>
      <c r="N53" s="253"/>
      <c r="O53" s="253"/>
      <c r="P53" s="253"/>
      <c r="Q53" s="253"/>
      <c r="R53" s="253"/>
      <c r="S53" s="253"/>
    </row>
    <row r="54" spans="9:22" x14ac:dyDescent="0.25">
      <c r="I54" s="275"/>
      <c r="K54" s="268"/>
      <c r="L54" s="253"/>
      <c r="M54" s="253"/>
      <c r="N54" s="253"/>
      <c r="O54" s="253"/>
      <c r="P54" s="253"/>
      <c r="Q54" s="253"/>
      <c r="R54" s="253"/>
      <c r="S54" s="253"/>
    </row>
    <row r="55" spans="9:22" x14ac:dyDescent="0.25">
      <c r="K55" s="268"/>
    </row>
  </sheetData>
  <mergeCells count="5">
    <mergeCell ref="B6:B8"/>
    <mergeCell ref="D6:G6"/>
    <mergeCell ref="H6:K6"/>
    <mergeCell ref="L6:O6"/>
    <mergeCell ref="P6:S6"/>
  </mergeCells>
  <printOptions horizontalCentered="1" verticalCentered="1"/>
  <pageMargins left="1.0629921259842521" right="0.39370078740157483" top="0.62992125984251968" bottom="0.39370078740157483" header="0.31496062992125984" footer="0.31496062992125984"/>
  <pageSetup paperSize="9" scale="49"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B2:N65"/>
  <sheetViews>
    <sheetView showGridLines="0" view="pageBreakPreview" zoomScale="80" zoomScaleNormal="75" zoomScaleSheetLayoutView="80" workbookViewId="0">
      <selection activeCell="N7" sqref="N7"/>
    </sheetView>
  </sheetViews>
  <sheetFormatPr defaultColWidth="9.33203125" defaultRowHeight="13.8" x14ac:dyDescent="0.25"/>
  <cols>
    <col min="1" max="1" width="6.6640625" style="19" customWidth="1"/>
    <col min="2" max="2" width="9.33203125" style="121" customWidth="1"/>
    <col min="3" max="3" width="47.109375" style="19" bestFit="1" customWidth="1"/>
    <col min="4" max="4" width="7.6640625" style="19" bestFit="1" customWidth="1"/>
    <col min="5" max="5" width="11.6640625" style="19" customWidth="1"/>
    <col min="6" max="6" width="9.6640625" style="19" bestFit="1" customWidth="1"/>
    <col min="7" max="7" width="10.77734375" style="19" bestFit="1" customWidth="1"/>
    <col min="8" max="8" width="12.21875" style="19" bestFit="1" customWidth="1"/>
    <col min="9" max="9" width="14.44140625" style="19" bestFit="1" customWidth="1"/>
    <col min="10" max="10" width="19.6640625" style="19" customWidth="1"/>
    <col min="11" max="11" width="11.6640625" style="19" customWidth="1"/>
    <col min="12" max="12" width="11" style="19" customWidth="1"/>
    <col min="13" max="13" width="13.6640625" style="19" customWidth="1"/>
    <col min="14" max="14" width="16" style="19" customWidth="1"/>
    <col min="15" max="16384" width="9.33203125" style="19"/>
  </cols>
  <sheetData>
    <row r="2" spans="2:14" x14ac:dyDescent="0.25">
      <c r="C2" s="25"/>
      <c r="D2" s="25"/>
      <c r="E2" s="299" t="str">
        <f>Index!B2</f>
        <v>JAIGAD POWER TRANSCO LIMITED (JPTL)</v>
      </c>
      <c r="F2" s="25"/>
      <c r="G2" s="25"/>
      <c r="H2" s="25"/>
      <c r="I2" s="25"/>
    </row>
    <row r="3" spans="2:14" s="21" customFormat="1" x14ac:dyDescent="0.25">
      <c r="C3" s="127"/>
      <c r="D3" s="127"/>
      <c r="E3" s="142" t="s">
        <v>0</v>
      </c>
      <c r="F3" s="127"/>
      <c r="G3" s="127"/>
      <c r="H3" s="127"/>
      <c r="I3" s="127"/>
      <c r="J3" s="72"/>
      <c r="K3" s="72"/>
      <c r="L3" s="72"/>
      <c r="M3" s="72"/>
    </row>
    <row r="4" spans="2:14" s="21" customFormat="1" x14ac:dyDescent="0.25">
      <c r="C4" s="57"/>
      <c r="D4" s="57"/>
      <c r="E4" s="52" t="s">
        <v>574</v>
      </c>
      <c r="F4" s="57"/>
      <c r="G4" s="57"/>
      <c r="H4" s="57"/>
      <c r="I4" s="57"/>
      <c r="J4" s="57"/>
      <c r="K4" s="57"/>
      <c r="L4" s="57"/>
      <c r="M4" s="57"/>
      <c r="N4" s="57"/>
    </row>
    <row r="5" spans="2:14" s="21" customFormat="1" x14ac:dyDescent="0.25">
      <c r="B5" s="52"/>
      <c r="C5" s="52"/>
      <c r="D5" s="52"/>
      <c r="E5" s="52"/>
      <c r="F5" s="52"/>
      <c r="G5" s="52"/>
      <c r="H5" s="52"/>
      <c r="I5" s="52"/>
      <c r="J5" s="57"/>
      <c r="K5" s="57"/>
      <c r="L5" s="57"/>
      <c r="M5" s="57"/>
      <c r="N5" s="57"/>
    </row>
    <row r="6" spans="2:14" s="21" customFormat="1" x14ac:dyDescent="0.25">
      <c r="B6" s="71" t="s">
        <v>75</v>
      </c>
      <c r="C6" s="19"/>
      <c r="D6" s="19"/>
      <c r="E6" s="19"/>
      <c r="F6" s="19"/>
      <c r="G6" s="19"/>
      <c r="H6" s="19"/>
      <c r="I6" s="19"/>
      <c r="J6" s="19"/>
      <c r="K6" s="57"/>
      <c r="L6" s="57"/>
      <c r="M6" s="57"/>
      <c r="N6" s="57"/>
    </row>
    <row r="7" spans="2:14" s="21" customFormat="1" x14ac:dyDescent="0.25">
      <c r="B7" s="71"/>
      <c r="C7" s="19"/>
      <c r="D7" s="19"/>
      <c r="E7" s="19"/>
      <c r="F7" s="19"/>
      <c r="G7" s="19"/>
      <c r="H7" s="19"/>
      <c r="I7" s="19"/>
      <c r="J7" s="19"/>
      <c r="K7" s="57"/>
      <c r="L7" s="57"/>
      <c r="M7" s="57"/>
      <c r="N7" s="57"/>
    </row>
    <row r="8" spans="2:14" s="21" customFormat="1" x14ac:dyDescent="0.25">
      <c r="B8" s="121"/>
      <c r="C8" s="19"/>
      <c r="D8" s="19"/>
      <c r="E8" s="19"/>
      <c r="F8" s="19"/>
      <c r="G8" s="19"/>
      <c r="H8" s="19"/>
      <c r="I8" s="24" t="s">
        <v>73</v>
      </c>
      <c r="J8" s="19"/>
      <c r="K8" s="57"/>
      <c r="L8" s="57"/>
      <c r="M8" s="57"/>
      <c r="N8" s="57"/>
    </row>
    <row r="9" spans="2:14" s="21" customFormat="1" ht="41.4" x14ac:dyDescent="0.25">
      <c r="B9" s="74" t="s">
        <v>1</v>
      </c>
      <c r="C9" s="297" t="s">
        <v>74</v>
      </c>
      <c r="D9" s="74" t="s">
        <v>80</v>
      </c>
      <c r="E9" s="74" t="s">
        <v>134</v>
      </c>
      <c r="F9" s="74" t="s">
        <v>575</v>
      </c>
      <c r="G9" s="74" t="s">
        <v>576</v>
      </c>
      <c r="H9" s="74" t="s">
        <v>577</v>
      </c>
      <c r="I9" s="74" t="s">
        <v>578</v>
      </c>
      <c r="J9" s="74" t="s">
        <v>579</v>
      </c>
      <c r="K9" s="57"/>
      <c r="L9" s="57"/>
      <c r="M9" s="57"/>
      <c r="N9" s="57"/>
    </row>
    <row r="10" spans="2:14" s="21" customFormat="1" x14ac:dyDescent="0.25">
      <c r="B10" s="46"/>
      <c r="C10" s="26"/>
      <c r="D10" s="26"/>
      <c r="E10" s="26"/>
      <c r="F10" s="26"/>
      <c r="G10" s="26"/>
      <c r="H10" s="26"/>
      <c r="I10" s="26"/>
      <c r="J10" s="26"/>
      <c r="K10" s="57"/>
      <c r="L10" s="57"/>
      <c r="M10" s="57"/>
      <c r="N10" s="57"/>
    </row>
    <row r="11" spans="2:14" s="21" customFormat="1" x14ac:dyDescent="0.25">
      <c r="B11" s="128">
        <v>1</v>
      </c>
      <c r="C11" s="129" t="s">
        <v>104</v>
      </c>
      <c r="D11" s="516">
        <f>+'F1 '!E10</f>
        <v>4.8746</v>
      </c>
      <c r="E11" s="516">
        <f>+'F1 '!F10</f>
        <v>5.6385193569999998</v>
      </c>
      <c r="F11" s="563">
        <f>E11-D11</f>
        <v>0.7639193569999998</v>
      </c>
      <c r="G11" s="432"/>
      <c r="H11" s="563">
        <f>D11-E11</f>
        <v>-0.7639193569999998</v>
      </c>
      <c r="I11" s="432"/>
      <c r="J11" s="563">
        <f>E11+H11*2/3</f>
        <v>5.1292397856666669</v>
      </c>
      <c r="K11" s="579"/>
      <c r="L11" s="579"/>
      <c r="M11" s="579"/>
      <c r="N11" s="57"/>
    </row>
    <row r="12" spans="2:14" s="21" customFormat="1" x14ac:dyDescent="0.25">
      <c r="B12" s="128" t="s">
        <v>874</v>
      </c>
      <c r="C12" s="129" t="s">
        <v>877</v>
      </c>
      <c r="D12" s="516">
        <f>+'F1 '!E11</f>
        <v>0.52</v>
      </c>
      <c r="E12" s="516">
        <f>+'F1 '!F11</f>
        <v>0.55070986999999993</v>
      </c>
      <c r="F12" s="563">
        <f>E12-D12</f>
        <v>3.0709869999999917E-2</v>
      </c>
      <c r="G12" s="432"/>
      <c r="H12" s="563"/>
      <c r="I12" s="432"/>
      <c r="J12" s="563">
        <f>E12+H12*1/3</f>
        <v>0.55070986999999993</v>
      </c>
      <c r="K12" s="579"/>
      <c r="L12" s="57"/>
      <c r="M12" s="57"/>
      <c r="N12" s="57"/>
    </row>
    <row r="13" spans="2:14" s="21" customFormat="1" x14ac:dyDescent="0.25">
      <c r="B13" s="128">
        <f>+B11+1</f>
        <v>2</v>
      </c>
      <c r="C13" s="26" t="s">
        <v>105</v>
      </c>
      <c r="D13" s="516">
        <f>+'F1 '!E12</f>
        <v>29.18</v>
      </c>
      <c r="E13" s="516">
        <f>+'F1 '!F12</f>
        <v>29.219266733030455</v>
      </c>
      <c r="F13" s="563">
        <f t="shared" ref="F13:F22" si="0">E13-D13</f>
        <v>3.926673303045547E-2</v>
      </c>
      <c r="G13" s="26"/>
      <c r="H13" s="26"/>
      <c r="I13" s="26"/>
      <c r="J13" s="516">
        <f>+E13</f>
        <v>29.219266733030455</v>
      </c>
      <c r="K13" s="579"/>
      <c r="L13" s="57"/>
      <c r="M13" s="57"/>
      <c r="N13" s="57"/>
    </row>
    <row r="14" spans="2:14" s="21" customFormat="1" x14ac:dyDescent="0.25">
      <c r="B14" s="128">
        <f t="shared" ref="B14:B21" si="1">+B13+1</f>
        <v>3</v>
      </c>
      <c r="C14" s="129" t="s">
        <v>580</v>
      </c>
      <c r="D14" s="516">
        <f>+'F1 '!E13</f>
        <v>7.7957435000000004</v>
      </c>
      <c r="E14" s="516">
        <f>+'F1 '!F13</f>
        <v>7.8033499732642122</v>
      </c>
      <c r="F14" s="563">
        <f t="shared" si="0"/>
        <v>7.6064732642118216E-3</v>
      </c>
      <c r="G14" s="26"/>
      <c r="H14" s="26"/>
      <c r="I14" s="26"/>
      <c r="J14" s="516">
        <f>+E14</f>
        <v>7.8033499732642122</v>
      </c>
      <c r="K14" s="579"/>
      <c r="L14" s="57"/>
      <c r="M14" s="57"/>
      <c r="N14" s="57"/>
    </row>
    <row r="15" spans="2:14" s="21" customFormat="1" x14ac:dyDescent="0.25">
      <c r="B15" s="128">
        <f t="shared" si="1"/>
        <v>4</v>
      </c>
      <c r="C15" s="130" t="s">
        <v>581</v>
      </c>
      <c r="D15" s="516">
        <f>+'F1 '!E14</f>
        <v>1.3687899750000001</v>
      </c>
      <c r="E15" s="516">
        <f>+'F1 '!F14</f>
        <v>1.3464311093841692</v>
      </c>
      <c r="F15" s="563">
        <f t="shared" si="0"/>
        <v>-2.2358865615830892E-2</v>
      </c>
      <c r="G15" s="26"/>
      <c r="H15" s="563">
        <f>-(E15-Sharing!D6)</f>
        <v>-0.3177081513841693</v>
      </c>
      <c r="I15" s="432"/>
      <c r="J15" s="563">
        <f>E15+H15*2/3</f>
        <v>1.1346256751280563</v>
      </c>
      <c r="K15" s="579"/>
      <c r="L15" s="57"/>
      <c r="M15" s="57"/>
      <c r="N15" s="57"/>
    </row>
    <row r="16" spans="2:14" s="21" customFormat="1" x14ac:dyDescent="0.25">
      <c r="B16" s="128">
        <f t="shared" si="1"/>
        <v>5</v>
      </c>
      <c r="C16" s="129" t="s">
        <v>40</v>
      </c>
      <c r="D16" s="516">
        <f>+'F1 '!E15</f>
        <v>0</v>
      </c>
      <c r="E16" s="516">
        <f>+'F1 '!F15</f>
        <v>0</v>
      </c>
      <c r="F16" s="563">
        <f t="shared" si="0"/>
        <v>0</v>
      </c>
      <c r="G16" s="26"/>
      <c r="H16" s="26"/>
      <c r="I16" s="26"/>
      <c r="J16" s="516">
        <f>+E16</f>
        <v>0</v>
      </c>
      <c r="K16" s="579"/>
      <c r="L16" s="57"/>
      <c r="M16" s="57"/>
      <c r="N16" s="57"/>
    </row>
    <row r="17" spans="2:14" s="21" customFormat="1" x14ac:dyDescent="0.25">
      <c r="B17" s="128">
        <f t="shared" si="1"/>
        <v>6</v>
      </c>
      <c r="C17" s="130" t="s">
        <v>582</v>
      </c>
      <c r="D17" s="516">
        <f>+'F1 '!E16</f>
        <v>1.38</v>
      </c>
      <c r="E17" s="516">
        <f>+'F1 '!F16</f>
        <v>1.3793191477500002</v>
      </c>
      <c r="F17" s="563">
        <f t="shared" si="0"/>
        <v>-6.8085224999969718E-4</v>
      </c>
      <c r="G17" s="26"/>
      <c r="H17" s="26"/>
      <c r="I17" s="26"/>
      <c r="J17" s="516">
        <f>+E17</f>
        <v>1.3793191477500002</v>
      </c>
      <c r="K17" s="579"/>
      <c r="L17" s="57"/>
      <c r="M17" s="57"/>
      <c r="N17" s="57"/>
    </row>
    <row r="18" spans="2:14" s="21" customFormat="1" x14ac:dyDescent="0.25">
      <c r="B18" s="128">
        <f t="shared" si="1"/>
        <v>7</v>
      </c>
      <c r="C18" s="132" t="s">
        <v>108</v>
      </c>
      <c r="D18" s="575">
        <f>SUM(D11:D17)</f>
        <v>45.119133475000005</v>
      </c>
      <c r="E18" s="575">
        <f>SUM(E11:E17)</f>
        <v>45.937596190428842</v>
      </c>
      <c r="F18" s="575">
        <f t="shared" ref="F18" si="2">SUM(F11:F17)</f>
        <v>0.81846271542883642</v>
      </c>
      <c r="G18" s="26"/>
      <c r="H18" s="26"/>
      <c r="I18" s="26"/>
      <c r="J18" s="575">
        <f t="shared" ref="J18" si="3">SUM(J11:J17)</f>
        <v>45.216511184839391</v>
      </c>
      <c r="K18" s="57"/>
      <c r="L18" s="57"/>
      <c r="M18" s="57"/>
      <c r="N18" s="57"/>
    </row>
    <row r="19" spans="2:14" s="21" customFormat="1" x14ac:dyDescent="0.25">
      <c r="B19" s="128">
        <f t="shared" si="1"/>
        <v>8</v>
      </c>
      <c r="C19" s="129" t="s">
        <v>583</v>
      </c>
      <c r="D19" s="516">
        <f>+'F1 '!E18</f>
        <v>23.494649250000002</v>
      </c>
      <c r="E19" s="516">
        <f>+'F1 '!F18</f>
        <v>25.442097014112605</v>
      </c>
      <c r="F19" s="563">
        <f t="shared" si="0"/>
        <v>1.9474477641126029</v>
      </c>
      <c r="G19" s="26"/>
      <c r="H19" s="26"/>
      <c r="I19" s="26"/>
      <c r="J19" s="516">
        <f>+E19</f>
        <v>25.442097014112605</v>
      </c>
      <c r="K19" s="579"/>
      <c r="L19" s="57"/>
      <c r="M19" s="57"/>
      <c r="N19" s="57"/>
    </row>
    <row r="20" spans="2:14" s="21" customFormat="1" x14ac:dyDescent="0.25">
      <c r="B20" s="128">
        <f t="shared" si="1"/>
        <v>9</v>
      </c>
      <c r="C20" s="132" t="s">
        <v>110</v>
      </c>
      <c r="D20" s="575">
        <f>+D18+D19</f>
        <v>68.613782725000007</v>
      </c>
      <c r="E20" s="575">
        <f>+E18+E19</f>
        <v>71.379693204541439</v>
      </c>
      <c r="F20" s="575">
        <f t="shared" ref="F20" si="4">+F18+F19</f>
        <v>2.7659104795414393</v>
      </c>
      <c r="G20" s="26"/>
      <c r="H20" s="26"/>
      <c r="I20" s="26"/>
      <c r="J20" s="575">
        <f t="shared" ref="J20" si="5">+J18+J19</f>
        <v>70.658608198951995</v>
      </c>
      <c r="K20" s="57"/>
      <c r="L20" s="57"/>
      <c r="M20" s="57"/>
      <c r="N20" s="57"/>
    </row>
    <row r="21" spans="2:14" s="21" customFormat="1" x14ac:dyDescent="0.25">
      <c r="B21" s="128">
        <f t="shared" si="1"/>
        <v>10</v>
      </c>
      <c r="C21" s="129" t="s">
        <v>111</v>
      </c>
      <c r="D21" s="516">
        <f>+'F1 '!E20</f>
        <v>1.07</v>
      </c>
      <c r="E21" s="516">
        <f>+'F1 '!F20</f>
        <v>1.0655552512246327</v>
      </c>
      <c r="F21" s="563">
        <f t="shared" si="0"/>
        <v>-4.4447487753673798E-3</v>
      </c>
      <c r="G21" s="26"/>
      <c r="H21" s="26"/>
      <c r="I21" s="26"/>
      <c r="J21" s="516">
        <f>+E21</f>
        <v>1.0655552512246327</v>
      </c>
      <c r="K21" s="579"/>
      <c r="L21" s="57"/>
      <c r="M21" s="57"/>
      <c r="N21" s="57"/>
    </row>
    <row r="22" spans="2:14" s="21" customFormat="1" x14ac:dyDescent="0.25">
      <c r="B22" s="128">
        <f>+B21+1</f>
        <v>11</v>
      </c>
      <c r="C22" s="129" t="s">
        <v>112</v>
      </c>
      <c r="D22" s="516">
        <f>+'F1 '!E21</f>
        <v>0</v>
      </c>
      <c r="E22" s="516">
        <f>+'F1 '!F21</f>
        <v>0</v>
      </c>
      <c r="F22" s="563">
        <f t="shared" si="0"/>
        <v>0</v>
      </c>
      <c r="G22" s="26"/>
      <c r="H22" s="26"/>
      <c r="I22" s="26"/>
      <c r="J22" s="516">
        <f>+E22</f>
        <v>0</v>
      </c>
      <c r="K22" s="57"/>
      <c r="L22" s="57"/>
      <c r="M22" s="57"/>
      <c r="N22" s="57"/>
    </row>
    <row r="23" spans="2:14" s="21" customFormat="1" ht="27.6" x14ac:dyDescent="0.25">
      <c r="B23" s="128">
        <f>+B22+1</f>
        <v>12</v>
      </c>
      <c r="C23" s="133" t="s">
        <v>584</v>
      </c>
      <c r="D23" s="575">
        <f>+D20-D21-D22+0</f>
        <v>67.543782725000014</v>
      </c>
      <c r="E23" s="575">
        <f>+E20-E21-E22</f>
        <v>70.314137953316802</v>
      </c>
      <c r="F23" s="575">
        <f>+F20-F21-F22</f>
        <v>2.7703552283168067</v>
      </c>
      <c r="G23" s="26"/>
      <c r="H23" s="26"/>
      <c r="I23" s="26"/>
      <c r="J23" s="575">
        <f>+J20-J21-J22</f>
        <v>69.593052947727358</v>
      </c>
      <c r="K23" s="57"/>
      <c r="L23" s="57"/>
      <c r="M23" s="57"/>
      <c r="N23" s="57"/>
    </row>
    <row r="24" spans="2:14" s="21" customFormat="1" x14ac:dyDescent="0.25">
      <c r="B24" s="131"/>
      <c r="C24" s="133"/>
      <c r="D24" s="575"/>
      <c r="E24" s="575"/>
      <c r="F24" s="575"/>
      <c r="G24" s="26"/>
      <c r="H24" s="26"/>
      <c r="I24" s="26"/>
      <c r="J24" s="575"/>
      <c r="K24" s="57"/>
      <c r="L24" s="57"/>
      <c r="M24" s="57"/>
      <c r="N24" s="57"/>
    </row>
    <row r="25" spans="2:14" s="21" customFormat="1" x14ac:dyDescent="0.25">
      <c r="B25" s="134"/>
      <c r="C25" s="132"/>
      <c r="D25" s="26"/>
      <c r="E25" s="26"/>
      <c r="F25" s="26"/>
      <c r="G25" s="26"/>
      <c r="H25" s="26"/>
      <c r="I25" s="26"/>
      <c r="J25" s="26"/>
      <c r="K25" s="57"/>
      <c r="L25" s="57"/>
      <c r="M25" s="57"/>
      <c r="N25" s="57"/>
    </row>
    <row r="26" spans="2:14" s="21" customFormat="1" x14ac:dyDescent="0.25">
      <c r="B26" s="134">
        <f>+B23+1</f>
        <v>13</v>
      </c>
      <c r="C26" s="135" t="s">
        <v>585</v>
      </c>
      <c r="D26" s="575">
        <f>+SUM(D27:D29)</f>
        <v>68.12</v>
      </c>
      <c r="E26" s="575">
        <f>+SUM(E27:E29)</f>
        <v>68.082301200000003</v>
      </c>
      <c r="F26" s="563">
        <f t="shared" ref="F26:F27" si="6">E26-D26</f>
        <v>-3.7698800000001143E-2</v>
      </c>
      <c r="G26" s="26"/>
      <c r="H26" s="26"/>
      <c r="I26" s="26"/>
      <c r="J26" s="575">
        <f>+SUM(J27:J29)</f>
        <v>68.082301200000003</v>
      </c>
      <c r="K26" s="57"/>
      <c r="L26" s="57"/>
      <c r="M26" s="57"/>
      <c r="N26" s="57"/>
    </row>
    <row r="27" spans="2:14" s="21" customFormat="1" ht="16.5" customHeight="1" x14ac:dyDescent="0.25">
      <c r="B27" s="136" t="s">
        <v>141</v>
      </c>
      <c r="C27" s="137" t="s">
        <v>586</v>
      </c>
      <c r="D27" s="516">
        <f>+'F11'!D14</f>
        <v>68.12</v>
      </c>
      <c r="E27" s="516">
        <f>+'F11'!E14</f>
        <v>68.082301200000003</v>
      </c>
      <c r="F27" s="563">
        <f t="shared" si="6"/>
        <v>-3.7698800000001143E-2</v>
      </c>
      <c r="G27" s="26"/>
      <c r="H27" s="26"/>
      <c r="I27" s="26"/>
      <c r="J27" s="516">
        <f>+E27</f>
        <v>68.082301200000003</v>
      </c>
      <c r="K27" s="57"/>
      <c r="L27" s="57"/>
      <c r="M27" s="57"/>
      <c r="N27" s="57"/>
    </row>
    <row r="28" spans="2:14" s="21" customFormat="1" x14ac:dyDescent="0.25">
      <c r="B28" s="136" t="s">
        <v>148</v>
      </c>
      <c r="C28" s="137" t="s">
        <v>587</v>
      </c>
      <c r="D28" s="26"/>
      <c r="E28" s="26"/>
      <c r="F28" s="26"/>
      <c r="G28" s="26"/>
      <c r="H28" s="26"/>
      <c r="I28" s="26"/>
      <c r="J28" s="26"/>
      <c r="K28" s="57"/>
      <c r="L28" s="57"/>
      <c r="M28" s="57"/>
      <c r="N28" s="57"/>
    </row>
    <row r="29" spans="2:14" s="21" customFormat="1" x14ac:dyDescent="0.25">
      <c r="B29" s="136" t="s">
        <v>151</v>
      </c>
      <c r="C29" s="137" t="s">
        <v>588</v>
      </c>
      <c r="D29" s="26"/>
      <c r="E29" s="26"/>
      <c r="F29" s="26"/>
      <c r="G29" s="26"/>
      <c r="H29" s="26"/>
      <c r="I29" s="26"/>
      <c r="J29" s="26"/>
      <c r="K29" s="57"/>
      <c r="L29" s="57"/>
      <c r="M29" s="57"/>
      <c r="N29" s="57"/>
    </row>
    <row r="30" spans="2:14" s="21" customFormat="1" x14ac:dyDescent="0.25">
      <c r="B30" s="136" t="s">
        <v>304</v>
      </c>
      <c r="C30" s="137" t="s">
        <v>304</v>
      </c>
      <c r="D30" s="26"/>
      <c r="E30" s="26"/>
      <c r="F30" s="26"/>
      <c r="G30" s="26"/>
      <c r="H30" s="26"/>
      <c r="I30" s="26"/>
      <c r="J30" s="26"/>
      <c r="K30" s="57"/>
      <c r="L30" s="57"/>
      <c r="M30" s="57"/>
      <c r="N30" s="57"/>
    </row>
    <row r="31" spans="2:14" s="21" customFormat="1" x14ac:dyDescent="0.25">
      <c r="B31" s="136"/>
      <c r="C31" s="137"/>
      <c r="D31" s="26"/>
      <c r="E31" s="26"/>
      <c r="F31" s="26"/>
      <c r="G31" s="26"/>
      <c r="H31" s="26"/>
      <c r="I31" s="26"/>
      <c r="J31" s="26"/>
      <c r="K31" s="57"/>
      <c r="L31" s="57"/>
      <c r="M31" s="57"/>
      <c r="N31" s="57"/>
    </row>
    <row r="32" spans="2:14" s="21" customFormat="1" x14ac:dyDescent="0.25">
      <c r="B32" s="134">
        <f>+B26+1</f>
        <v>14</v>
      </c>
      <c r="C32" s="135" t="s">
        <v>589</v>
      </c>
      <c r="D32" s="578">
        <f>+D23-D26</f>
        <v>-0.57621727499999054</v>
      </c>
      <c r="E32" s="578">
        <f>+E23-E26</f>
        <v>2.2318367533167986</v>
      </c>
      <c r="F32" s="648">
        <f t="shared" ref="F32" si="7">E32-D32</f>
        <v>2.8080540283167892</v>
      </c>
      <c r="G32" s="30"/>
      <c r="H32" s="30"/>
      <c r="I32" s="30"/>
      <c r="J32" s="578">
        <f>+J23-J26</f>
        <v>1.5107517477273547</v>
      </c>
      <c r="K32" s="57"/>
      <c r="L32" s="57"/>
      <c r="M32" s="57"/>
      <c r="N32" s="57"/>
    </row>
    <row r="33" spans="2:14" s="21" customFormat="1" x14ac:dyDescent="0.25">
      <c r="B33" s="52"/>
      <c r="D33" s="52"/>
      <c r="E33" s="52"/>
      <c r="F33" s="52"/>
      <c r="G33" s="52"/>
      <c r="H33" s="52"/>
      <c r="I33" s="52"/>
      <c r="J33" s="57"/>
      <c r="K33" s="57"/>
      <c r="L33" s="57"/>
      <c r="M33" s="57"/>
      <c r="N33" s="57"/>
    </row>
    <row r="34" spans="2:14" s="21" customFormat="1" x14ac:dyDescent="0.25">
      <c r="B34" s="52"/>
      <c r="C34" s="52"/>
      <c r="D34" s="52"/>
      <c r="E34" s="52"/>
      <c r="F34" s="52"/>
      <c r="G34" s="52"/>
      <c r="H34" s="52"/>
      <c r="I34" s="52"/>
      <c r="J34" s="57"/>
      <c r="K34" s="57"/>
      <c r="L34" s="57"/>
      <c r="M34" s="57"/>
      <c r="N34" s="57"/>
    </row>
    <row r="35" spans="2:14" x14ac:dyDescent="0.25">
      <c r="B35" s="71" t="s">
        <v>76</v>
      </c>
    </row>
    <row r="36" spans="2:14" x14ac:dyDescent="0.25">
      <c r="B36" s="71"/>
    </row>
    <row r="37" spans="2:14" x14ac:dyDescent="0.25">
      <c r="I37" s="24" t="s">
        <v>73</v>
      </c>
    </row>
    <row r="38" spans="2:14" ht="48.75" customHeight="1" x14ac:dyDescent="0.25">
      <c r="B38" s="74" t="s">
        <v>1</v>
      </c>
      <c r="C38" s="297" t="s">
        <v>74</v>
      </c>
      <c r="D38" s="74" t="s">
        <v>80</v>
      </c>
      <c r="E38" s="74" t="s">
        <v>134</v>
      </c>
      <c r="F38" s="74" t="s">
        <v>575</v>
      </c>
      <c r="G38" s="74" t="s">
        <v>576</v>
      </c>
      <c r="H38" s="74" t="s">
        <v>577</v>
      </c>
      <c r="I38" s="74" t="s">
        <v>578</v>
      </c>
      <c r="J38" s="74" t="s">
        <v>579</v>
      </c>
    </row>
    <row r="39" spans="2:14" x14ac:dyDescent="0.25">
      <c r="B39" s="46"/>
      <c r="C39" s="26"/>
      <c r="D39" s="26"/>
      <c r="E39" s="26"/>
      <c r="F39" s="26"/>
      <c r="G39" s="26"/>
      <c r="H39" s="26"/>
      <c r="I39" s="26"/>
      <c r="J39" s="26"/>
    </row>
    <row r="40" spans="2:14" x14ac:dyDescent="0.25">
      <c r="B40" s="128">
        <v>1</v>
      </c>
      <c r="C40" s="129" t="s">
        <v>104</v>
      </c>
      <c r="D40" s="516">
        <f>+'F1 '!H10</f>
        <v>5.0686</v>
      </c>
      <c r="E40" s="516">
        <f>+'F1 '!I10</f>
        <v>5.5921652999999996</v>
      </c>
      <c r="F40" s="563">
        <f t="shared" ref="F40:F41" si="8">E40-D40</f>
        <v>0.52356529999999957</v>
      </c>
      <c r="G40" s="26"/>
      <c r="H40" s="563">
        <f>D40-E40+I40</f>
        <v>-0.34122319999999956</v>
      </c>
      <c r="I40" s="537">
        <f>1823421/10^7</f>
        <v>0.18234210000000001</v>
      </c>
      <c r="J40" s="563">
        <f>E40+H40*2/3</f>
        <v>5.3646831666666666</v>
      </c>
      <c r="K40" s="843"/>
      <c r="L40" s="843"/>
    </row>
    <row r="41" spans="2:14" x14ac:dyDescent="0.25">
      <c r="B41" s="128" t="s">
        <v>874</v>
      </c>
      <c r="C41" s="129" t="s">
        <v>877</v>
      </c>
      <c r="D41" s="516">
        <f>+'F1 '!H11</f>
        <v>0.57999999999999996</v>
      </c>
      <c r="E41" s="516">
        <f>+'F1 '!I11</f>
        <v>0.15251500000000001</v>
      </c>
      <c r="F41" s="563">
        <f t="shared" si="8"/>
        <v>-0.42748499999999995</v>
      </c>
      <c r="G41" s="26"/>
      <c r="H41" s="563"/>
      <c r="I41" s="432"/>
      <c r="J41" s="563">
        <f>E41+H41*2/3</f>
        <v>0.15251500000000001</v>
      </c>
    </row>
    <row r="42" spans="2:14" x14ac:dyDescent="0.25">
      <c r="B42" s="128">
        <f>+B40+1</f>
        <v>2</v>
      </c>
      <c r="C42" s="26" t="s">
        <v>105</v>
      </c>
      <c r="D42" s="516">
        <f>+'F1 '!H12</f>
        <v>29.25</v>
      </c>
      <c r="E42" s="516">
        <f>+'F1 '!I12</f>
        <v>29.320062531331455</v>
      </c>
      <c r="F42" s="563">
        <f t="shared" ref="F42:F44" si="9">E42-D42</f>
        <v>7.0062531331455347E-2</v>
      </c>
      <c r="G42" s="26"/>
      <c r="H42" s="26"/>
      <c r="I42" s="26"/>
      <c r="J42" s="516">
        <f>+E42</f>
        <v>29.320062531331455</v>
      </c>
    </row>
    <row r="43" spans="2:14" x14ac:dyDescent="0.25">
      <c r="B43" s="128">
        <f t="shared" ref="B43:B54" si="10">+B42+1</f>
        <v>3</v>
      </c>
      <c r="C43" s="129" t="s">
        <v>580</v>
      </c>
      <c r="D43" s="516">
        <f>+'F1 '!H13</f>
        <v>5.5563604999999994</v>
      </c>
      <c r="E43" s="516">
        <f>+'F1 '!I13</f>
        <v>5.5495806063515642</v>
      </c>
      <c r="F43" s="563">
        <f t="shared" si="9"/>
        <v>-6.7798936484351202E-3</v>
      </c>
      <c r="G43" s="26"/>
      <c r="H43" s="26"/>
      <c r="I43" s="26"/>
      <c r="J43" s="516">
        <f>+E43</f>
        <v>5.5495806063515642</v>
      </c>
    </row>
    <row r="44" spans="2:14" x14ac:dyDescent="0.25">
      <c r="B44" s="128">
        <f t="shared" si="10"/>
        <v>4</v>
      </c>
      <c r="C44" s="130" t="s">
        <v>581</v>
      </c>
      <c r="D44" s="516">
        <f ca="1">+'F1 '!H14</f>
        <v>1.3549179094301436</v>
      </c>
      <c r="E44" s="516">
        <f>+'F1 '!I14</f>
        <v>1.4555386193917625</v>
      </c>
      <c r="F44" s="563">
        <f t="shared" ca="1" si="9"/>
        <v>0.10062070996161898</v>
      </c>
      <c r="G44" s="26"/>
      <c r="H44" s="563">
        <f>-(E44-Recon!F22)</f>
        <v>-0.6883683143917626</v>
      </c>
      <c r="I44" s="432"/>
      <c r="J44" s="563">
        <f>E44+H44*2/3</f>
        <v>0.99662640979725414</v>
      </c>
    </row>
    <row r="45" spans="2:14" x14ac:dyDescent="0.25">
      <c r="B45" s="128">
        <f t="shared" si="10"/>
        <v>5</v>
      </c>
      <c r="C45" s="129" t="s">
        <v>40</v>
      </c>
      <c r="D45" s="516">
        <f>+'F1 '!H15</f>
        <v>0</v>
      </c>
      <c r="E45" s="516">
        <f>+'F1 '!I15</f>
        <v>0</v>
      </c>
      <c r="F45" s="563">
        <f t="shared" ref="F45:F46" si="11">E45-D45</f>
        <v>0</v>
      </c>
      <c r="G45" s="26"/>
      <c r="H45" s="26"/>
      <c r="I45" s="26"/>
      <c r="J45" s="516">
        <f>+E45</f>
        <v>0</v>
      </c>
    </row>
    <row r="46" spans="2:14" x14ac:dyDescent="0.25">
      <c r="B46" s="128">
        <f t="shared" si="10"/>
        <v>6</v>
      </c>
      <c r="C46" s="130" t="s">
        <v>582</v>
      </c>
      <c r="D46" s="516">
        <f>+'F1 '!H16</f>
        <v>1.39</v>
      </c>
      <c r="E46" s="516">
        <f>+'F1 '!I16</f>
        <v>1.3917690090075001</v>
      </c>
      <c r="F46" s="563">
        <f t="shared" si="11"/>
        <v>1.7690090075002107E-3</v>
      </c>
      <c r="G46" s="26"/>
      <c r="H46" s="26"/>
      <c r="I46" s="26"/>
      <c r="J46" s="516">
        <f>+E46</f>
        <v>1.3917690090075001</v>
      </c>
    </row>
    <row r="47" spans="2:14" x14ac:dyDescent="0.25">
      <c r="B47" s="128">
        <f t="shared" si="10"/>
        <v>7</v>
      </c>
      <c r="C47" s="132" t="s">
        <v>108</v>
      </c>
      <c r="D47" s="575">
        <f ca="1">SUM(D40:D46)</f>
        <v>43.199878409430141</v>
      </c>
      <c r="E47" s="575">
        <f t="shared" ref="E47:F47" si="12">SUM(E40:E46)</f>
        <v>43.461631066082276</v>
      </c>
      <c r="F47" s="575">
        <f t="shared" ca="1" si="12"/>
        <v>0.26175265665213904</v>
      </c>
      <c r="G47" s="26"/>
      <c r="H47" s="26"/>
      <c r="I47" s="26"/>
      <c r="J47" s="575">
        <f t="shared" ref="J47" si="13">SUM(J40:J46)</f>
        <v>42.775236723154428</v>
      </c>
    </row>
    <row r="48" spans="2:14" x14ac:dyDescent="0.25">
      <c r="B48" s="128">
        <f t="shared" si="10"/>
        <v>8</v>
      </c>
      <c r="C48" s="129" t="s">
        <v>583</v>
      </c>
      <c r="D48" s="516">
        <f>+'F1 '!H18</f>
        <v>23.576433499999997</v>
      </c>
      <c r="E48" s="516">
        <f>+'F1 '!I18</f>
        <v>26.241754240085186</v>
      </c>
      <c r="F48" s="563">
        <f t="shared" ref="F48" si="14">E48-D48</f>
        <v>2.665320740085189</v>
      </c>
      <c r="G48" s="26"/>
      <c r="H48" s="26"/>
      <c r="I48" s="26"/>
      <c r="J48" s="516">
        <f>+E48</f>
        <v>26.241754240085186</v>
      </c>
    </row>
    <row r="49" spans="2:10" x14ac:dyDescent="0.25">
      <c r="B49" s="128">
        <f t="shared" si="10"/>
        <v>9</v>
      </c>
      <c r="C49" s="132" t="s">
        <v>110</v>
      </c>
      <c r="D49" s="575">
        <f ca="1">+D47+D48-0.01</f>
        <v>66.766311909430129</v>
      </c>
      <c r="E49" s="575">
        <f t="shared" ref="E49:F49" si="15">+E47+E48</f>
        <v>69.703385306167462</v>
      </c>
      <c r="F49" s="575">
        <f t="shared" ca="1" si="15"/>
        <v>2.9270733967373279</v>
      </c>
      <c r="G49" s="30"/>
      <c r="H49" s="30"/>
      <c r="I49" s="30"/>
      <c r="J49" s="575">
        <f t="shared" ref="J49" si="16">+J47+J48</f>
        <v>69.016990963239607</v>
      </c>
    </row>
    <row r="50" spans="2:10" x14ac:dyDescent="0.25">
      <c r="B50" s="128">
        <f t="shared" si="10"/>
        <v>10</v>
      </c>
      <c r="C50" s="129" t="s">
        <v>111</v>
      </c>
      <c r="D50" s="516">
        <f>+'F1 '!H20</f>
        <v>1.17</v>
      </c>
      <c r="E50" s="516">
        <f>+'F1 '!I20</f>
        <v>1.1658564682027326</v>
      </c>
      <c r="F50" s="563">
        <f t="shared" ref="F50" si="17">E50-D50</f>
        <v>-4.1435317972673413E-3</v>
      </c>
      <c r="G50" s="26"/>
      <c r="H50" s="26"/>
      <c r="I50" s="26"/>
      <c r="J50" s="516">
        <f>+E50</f>
        <v>1.1658564682027326</v>
      </c>
    </row>
    <row r="51" spans="2:10" x14ac:dyDescent="0.25">
      <c r="B51" s="128">
        <f t="shared" si="10"/>
        <v>11</v>
      </c>
      <c r="C51" s="129" t="s">
        <v>112</v>
      </c>
      <c r="D51" s="26"/>
      <c r="E51" s="26"/>
      <c r="F51" s="26"/>
      <c r="G51" s="26"/>
      <c r="H51" s="26"/>
      <c r="I51" s="26"/>
      <c r="J51" s="516">
        <f>+E51</f>
        <v>0</v>
      </c>
    </row>
    <row r="52" spans="2:10" ht="42" customHeight="1" x14ac:dyDescent="0.25">
      <c r="B52" s="128">
        <f t="shared" si="10"/>
        <v>12</v>
      </c>
      <c r="C52" s="132" t="s">
        <v>784</v>
      </c>
      <c r="D52" s="575">
        <f ca="1">+D49-D50-D51+0.01</f>
        <v>65.606311909430133</v>
      </c>
      <c r="E52" s="575">
        <f>+E49-E50-E51</f>
        <v>68.537528837964729</v>
      </c>
      <c r="F52" s="575">
        <f ca="1">+F49-F50-F51</f>
        <v>2.931216928534595</v>
      </c>
      <c r="G52" s="26"/>
      <c r="H52" s="26"/>
      <c r="I52" s="26"/>
      <c r="J52" s="575">
        <f>+J49-J50-J51</f>
        <v>67.851134495036874</v>
      </c>
    </row>
    <row r="53" spans="2:10" ht="46.8" x14ac:dyDescent="0.25">
      <c r="B53" s="128">
        <f t="shared" si="10"/>
        <v>13</v>
      </c>
      <c r="C53" s="539" t="s">
        <v>790</v>
      </c>
      <c r="D53" s="516">
        <f>+'F1 '!H25</f>
        <v>0.92</v>
      </c>
      <c r="E53" s="516">
        <f>+'F1 '!I25</f>
        <v>1.218763484415442</v>
      </c>
      <c r="F53" s="563">
        <f t="shared" ref="F53" si="18">E53-D53</f>
        <v>0.29876348441544198</v>
      </c>
      <c r="G53" s="26"/>
      <c r="H53" s="26"/>
      <c r="I53" s="26"/>
      <c r="J53" s="516">
        <f t="shared" ref="J53" si="19">+E53</f>
        <v>1.218763484415442</v>
      </c>
    </row>
    <row r="54" spans="2:10" ht="42" customHeight="1" x14ac:dyDescent="0.25">
      <c r="B54" s="128">
        <f t="shared" si="10"/>
        <v>14</v>
      </c>
      <c r="C54" s="133" t="s">
        <v>584</v>
      </c>
      <c r="D54" s="575">
        <f ca="1">SUM(D52:D53)+0.01</f>
        <v>66.53631190943014</v>
      </c>
      <c r="E54" s="575">
        <f>SUM(E52:E53)</f>
        <v>69.756292322380176</v>
      </c>
      <c r="F54" s="575">
        <f ca="1">SUM(F52:F53)</f>
        <v>3.2299804129500371</v>
      </c>
      <c r="G54" s="26"/>
      <c r="H54" s="26"/>
      <c r="I54" s="26"/>
      <c r="J54" s="575">
        <f>SUM(J52:J53)</f>
        <v>69.069897979452321</v>
      </c>
    </row>
    <row r="55" spans="2:10" x14ac:dyDescent="0.25">
      <c r="B55" s="134"/>
      <c r="C55" s="132"/>
      <c r="D55" s="26"/>
      <c r="E55" s="26"/>
      <c r="F55" s="26"/>
      <c r="G55" s="26"/>
      <c r="H55" s="26"/>
      <c r="I55" s="26"/>
      <c r="J55" s="26"/>
    </row>
    <row r="56" spans="2:10" x14ac:dyDescent="0.25">
      <c r="B56" s="134">
        <f>+B54+1</f>
        <v>15</v>
      </c>
      <c r="C56" s="135" t="s">
        <v>585</v>
      </c>
      <c r="D56" s="542">
        <f ca="1">SUM(D57:D59)</f>
        <v>66.53631190943014</v>
      </c>
      <c r="E56" s="542">
        <f>SUM(E57:E59)</f>
        <v>67.671861500000006</v>
      </c>
      <c r="F56" s="563">
        <f t="shared" ref="F56:F57" ca="1" si="20">E56-D56</f>
        <v>1.135549590569866</v>
      </c>
      <c r="G56" s="26"/>
      <c r="H56" s="26"/>
      <c r="I56" s="26"/>
      <c r="J56" s="542">
        <f>SUM(J57:J59)</f>
        <v>67.671861500000006</v>
      </c>
    </row>
    <row r="57" spans="2:10" ht="16.5" customHeight="1" x14ac:dyDescent="0.25">
      <c r="B57" s="136" t="s">
        <v>141</v>
      </c>
      <c r="C57" s="137" t="s">
        <v>586</v>
      </c>
      <c r="D57" s="516">
        <f ca="1">+'F11'!G14</f>
        <v>66.53631190943014</v>
      </c>
      <c r="E57" s="516">
        <f>+'F11'!H14</f>
        <v>67.671861500000006</v>
      </c>
      <c r="F57" s="563">
        <f t="shared" ca="1" si="20"/>
        <v>1.135549590569866</v>
      </c>
      <c r="G57" s="26"/>
      <c r="H57" s="26"/>
      <c r="I57" s="26"/>
      <c r="J57" s="516">
        <f t="shared" ref="J57" si="21">+E57</f>
        <v>67.671861500000006</v>
      </c>
    </row>
    <row r="58" spans="2:10" x14ac:dyDescent="0.25">
      <c r="B58" s="136" t="s">
        <v>148</v>
      </c>
      <c r="C58" s="137" t="s">
        <v>587</v>
      </c>
      <c r="D58" s="26"/>
      <c r="E58" s="26"/>
      <c r="F58" s="26"/>
      <c r="G58" s="26"/>
      <c r="H58" s="26"/>
      <c r="I58" s="26"/>
      <c r="J58" s="26"/>
    </row>
    <row r="59" spans="2:10" x14ac:dyDescent="0.25">
      <c r="B59" s="136" t="s">
        <v>151</v>
      </c>
      <c r="C59" s="137" t="s">
        <v>588</v>
      </c>
      <c r="D59" s="26"/>
      <c r="E59" s="26"/>
      <c r="F59" s="26"/>
      <c r="G59" s="26"/>
      <c r="H59" s="26"/>
      <c r="I59" s="26"/>
      <c r="J59" s="26"/>
    </row>
    <row r="60" spans="2:10" x14ac:dyDescent="0.25">
      <c r="B60" s="136" t="s">
        <v>304</v>
      </c>
      <c r="C60" s="137" t="s">
        <v>304</v>
      </c>
      <c r="D60" s="26"/>
      <c r="E60" s="26"/>
      <c r="F60" s="26"/>
      <c r="G60" s="26"/>
      <c r="H60" s="26"/>
      <c r="I60" s="26"/>
      <c r="J60" s="26"/>
    </row>
    <row r="61" spans="2:10" x14ac:dyDescent="0.25">
      <c r="B61" s="136"/>
      <c r="C61" s="137"/>
      <c r="D61" s="26"/>
      <c r="E61" s="26"/>
      <c r="F61" s="26"/>
      <c r="G61" s="26"/>
      <c r="H61" s="26"/>
      <c r="I61" s="26"/>
      <c r="J61" s="26"/>
    </row>
    <row r="62" spans="2:10" x14ac:dyDescent="0.25">
      <c r="B62" s="134">
        <v>14</v>
      </c>
      <c r="C62" s="135" t="s">
        <v>589</v>
      </c>
      <c r="D62" s="575">
        <f ca="1">+D54-D56</f>
        <v>0</v>
      </c>
      <c r="E62" s="575">
        <f t="shared" ref="E62:F62" si="22">+E54-E56</f>
        <v>2.0844308223801704</v>
      </c>
      <c r="F62" s="575">
        <f t="shared" ca="1" si="22"/>
        <v>2.0944308223801711</v>
      </c>
      <c r="G62" s="30"/>
      <c r="H62" s="30"/>
      <c r="I62" s="30"/>
      <c r="J62" s="575">
        <f t="shared" ref="J62" si="23">+J54-J56</f>
        <v>1.3980364794523155</v>
      </c>
    </row>
    <row r="63" spans="2:10" x14ac:dyDescent="0.25">
      <c r="B63" s="138"/>
      <c r="C63" s="139"/>
      <c r="D63" s="25"/>
      <c r="E63" s="25"/>
      <c r="F63" s="25"/>
      <c r="G63" s="25"/>
      <c r="H63" s="25"/>
      <c r="I63" s="25"/>
    </row>
    <row r="64" spans="2:10" x14ac:dyDescent="0.25">
      <c r="B64" s="140" t="s">
        <v>590</v>
      </c>
    </row>
    <row r="65" spans="2:9" x14ac:dyDescent="0.25">
      <c r="B65" s="933" t="s">
        <v>591</v>
      </c>
      <c r="C65" s="933"/>
      <c r="D65" s="933"/>
      <c r="E65" s="933"/>
      <c r="F65" s="933"/>
      <c r="G65" s="933"/>
      <c r="H65" s="933"/>
      <c r="I65" s="933"/>
    </row>
  </sheetData>
  <mergeCells count="1">
    <mergeCell ref="B65:I65"/>
  </mergeCells>
  <printOptions horizontalCentered="1" verticalCentered="1"/>
  <pageMargins left="0.28000000000000003" right="0.23622047244094491" top="0.59055118110236227" bottom="0.59055118110236227" header="0.23622047244094491" footer="0.23622047244094491"/>
  <pageSetup paperSize="9" scale="70"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1BFBC-3E71-49EA-9402-80F1430968CE}">
  <dimension ref="B3:K12"/>
  <sheetViews>
    <sheetView showGridLines="0" workbookViewId="0">
      <selection activeCell="J10" sqref="J4:J10"/>
    </sheetView>
  </sheetViews>
  <sheetFormatPr defaultColWidth="9.109375" defaultRowHeight="13.8" x14ac:dyDescent="0.25"/>
  <cols>
    <col min="1" max="1" width="9.109375" style="664"/>
    <col min="2" max="2" width="25" style="664" bestFit="1" customWidth="1"/>
    <col min="3" max="8" width="17.5546875" style="664" customWidth="1"/>
    <col min="9" max="16384" width="9.109375" style="664"/>
  </cols>
  <sheetData>
    <row r="3" spans="2:11" x14ac:dyDescent="0.25">
      <c r="B3" s="1196" t="s">
        <v>75</v>
      </c>
      <c r="C3" s="1196"/>
      <c r="D3" s="1196"/>
      <c r="E3" s="1196"/>
      <c r="F3" s="1196"/>
      <c r="G3" s="1196"/>
      <c r="H3" s="1196"/>
    </row>
    <row r="4" spans="2:11" ht="69" x14ac:dyDescent="0.25">
      <c r="B4" s="783" t="s">
        <v>844</v>
      </c>
      <c r="C4" s="783" t="s">
        <v>852</v>
      </c>
      <c r="D4" s="783" t="s">
        <v>134</v>
      </c>
      <c r="E4" s="783" t="s">
        <v>845</v>
      </c>
      <c r="F4" s="783" t="s">
        <v>846</v>
      </c>
      <c r="G4" s="783" t="s">
        <v>847</v>
      </c>
      <c r="H4" s="783" t="s">
        <v>848</v>
      </c>
    </row>
    <row r="5" spans="2:11" x14ac:dyDescent="0.25">
      <c r="B5" s="784" t="s">
        <v>849</v>
      </c>
      <c r="C5" s="785">
        <f>+'F1 '!E10</f>
        <v>4.8746</v>
      </c>
      <c r="D5" s="785">
        <f>+'F1 '!F10</f>
        <v>5.6385193569999998</v>
      </c>
      <c r="E5" s="785">
        <f>C5</f>
        <v>4.8746</v>
      </c>
      <c r="F5" s="785">
        <f>(C5-D5)</f>
        <v>-0.7639193569999998</v>
      </c>
      <c r="G5" s="785">
        <f>IF(F5&gt;0,F5*2/3,F5*1/3)</f>
        <v>-0.25463978566666662</v>
      </c>
      <c r="H5" s="786">
        <f>C5-G5</f>
        <v>5.1292397856666669</v>
      </c>
      <c r="I5" s="787">
        <f>+'F13'!J11</f>
        <v>5.1292397856666669</v>
      </c>
      <c r="J5" s="787"/>
      <c r="K5" s="787"/>
    </row>
    <row r="6" spans="2:11" x14ac:dyDescent="0.25">
      <c r="B6" s="784" t="s">
        <v>850</v>
      </c>
      <c r="C6" s="785">
        <f>+'F1 '!F14</f>
        <v>1.3464311093841692</v>
      </c>
      <c r="D6" s="785">
        <f>+Recon!C22</f>
        <v>1.0287229579999999</v>
      </c>
      <c r="E6" s="785">
        <f>C6</f>
        <v>1.3464311093841692</v>
      </c>
      <c r="F6" s="785">
        <f>(C6-D6)</f>
        <v>0.3177081513841693</v>
      </c>
      <c r="G6" s="785">
        <f>IF(F6&gt;0,F6*1/3,F6*2/3)</f>
        <v>0.10590271712805643</v>
      </c>
      <c r="H6" s="785">
        <f>G6+D6</f>
        <v>1.1346256751280563</v>
      </c>
      <c r="I6" s="787">
        <f>+'F13'!J15</f>
        <v>1.1346256751280563</v>
      </c>
      <c r="J6" s="787"/>
    </row>
    <row r="7" spans="2:11" x14ac:dyDescent="0.25">
      <c r="B7" s="654" t="s">
        <v>851</v>
      </c>
      <c r="C7" s="788">
        <f>SUM(C5:C6)</f>
        <v>6.2210311093841693</v>
      </c>
      <c r="D7" s="788">
        <f t="shared" ref="D7:H7" si="0">SUM(D5:D6)</f>
        <v>6.6672423149999993</v>
      </c>
      <c r="E7" s="788">
        <f t="shared" si="0"/>
        <v>6.2210311093841693</v>
      </c>
      <c r="F7" s="788">
        <f t="shared" si="0"/>
        <v>-0.4462112056158305</v>
      </c>
      <c r="G7" s="788">
        <f t="shared" si="0"/>
        <v>-0.14873706853861018</v>
      </c>
      <c r="H7" s="788">
        <f t="shared" si="0"/>
        <v>6.2638654607947233</v>
      </c>
      <c r="I7" s="787"/>
    </row>
    <row r="8" spans="2:11" x14ac:dyDescent="0.25">
      <c r="B8" s="1196" t="s">
        <v>76</v>
      </c>
      <c r="C8" s="1196"/>
      <c r="D8" s="1196"/>
      <c r="E8" s="1196"/>
      <c r="F8" s="1196"/>
      <c r="G8" s="1196"/>
      <c r="H8" s="1196"/>
    </row>
    <row r="9" spans="2:11" ht="69" x14ac:dyDescent="0.25">
      <c r="B9" s="783" t="s">
        <v>844</v>
      </c>
      <c r="C9" s="783" t="s">
        <v>852</v>
      </c>
      <c r="D9" s="783" t="s">
        <v>134</v>
      </c>
      <c r="E9" s="783" t="s">
        <v>845</v>
      </c>
      <c r="F9" s="783" t="s">
        <v>846</v>
      </c>
      <c r="G9" s="783" t="s">
        <v>847</v>
      </c>
      <c r="H9" s="783" t="s">
        <v>848</v>
      </c>
    </row>
    <row r="10" spans="2:11" x14ac:dyDescent="0.25">
      <c r="B10" s="784" t="s">
        <v>849</v>
      </c>
      <c r="C10" s="785">
        <f>+'F1 '!H10</f>
        <v>5.0686</v>
      </c>
      <c r="D10" s="785">
        <f>+'F1 '!I10-'F13'!I40</f>
        <v>5.4098231999999999</v>
      </c>
      <c r="E10" s="785">
        <f>C10</f>
        <v>5.0686</v>
      </c>
      <c r="F10" s="785">
        <f>(C10-D10)</f>
        <v>-0.34122319999999995</v>
      </c>
      <c r="G10" s="785">
        <f>IF(F10&gt;0,F10*2/3,F10*1/3)</f>
        <v>-0.11374106666666665</v>
      </c>
      <c r="H10" s="786">
        <f>C10-G10</f>
        <v>5.1823410666666669</v>
      </c>
      <c r="I10" s="787">
        <f>+'F13'!J40</f>
        <v>5.3646831666666666</v>
      </c>
      <c r="J10" s="787"/>
    </row>
    <row r="11" spans="2:11" x14ac:dyDescent="0.25">
      <c r="B11" s="784" t="s">
        <v>850</v>
      </c>
      <c r="C11" s="785">
        <f>+'F1 '!I14</f>
        <v>1.4555386193917625</v>
      </c>
      <c r="D11" s="785">
        <f>+Recon!F22</f>
        <v>0.76717030499999994</v>
      </c>
      <c r="E11" s="785">
        <f>C11</f>
        <v>1.4555386193917625</v>
      </c>
      <c r="F11" s="785">
        <f>(C11-D11)</f>
        <v>0.6883683143917626</v>
      </c>
      <c r="G11" s="785">
        <f>IF(F11&gt;0,F11*1/3,F11*2/3)</f>
        <v>0.2294561047972542</v>
      </c>
      <c r="H11" s="785">
        <f>G11+D11</f>
        <v>0.99662640979725414</v>
      </c>
      <c r="I11" s="787">
        <f>+'F13'!J44</f>
        <v>0.99662640979725414</v>
      </c>
    </row>
    <row r="12" spans="2:11" x14ac:dyDescent="0.25">
      <c r="B12" s="654" t="s">
        <v>851</v>
      </c>
      <c r="C12" s="788">
        <f>SUM(C10:C11)</f>
        <v>6.5241386193917625</v>
      </c>
      <c r="D12" s="788">
        <f t="shared" ref="D12:H12" si="1">SUM(D10:D11)</f>
        <v>6.1769935049999996</v>
      </c>
      <c r="E12" s="788">
        <f t="shared" si="1"/>
        <v>6.5241386193917625</v>
      </c>
      <c r="F12" s="788">
        <f t="shared" si="1"/>
        <v>0.34714511439176265</v>
      </c>
      <c r="G12" s="788">
        <f t="shared" si="1"/>
        <v>0.11571503813058755</v>
      </c>
      <c r="H12" s="788">
        <f t="shared" si="1"/>
        <v>6.1789674764639209</v>
      </c>
      <c r="I12" s="787"/>
    </row>
  </sheetData>
  <mergeCells count="2">
    <mergeCell ref="B3:H3"/>
    <mergeCell ref="B8:H8"/>
  </mergeCells>
  <pageMargins left="0.7" right="0.7" top="0.75" bottom="0.75" header="0.3" footer="0.3"/>
  <pageSetup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516CD-BEBC-4B18-B2F4-6423218F80A0}">
  <dimension ref="A2:AJ225"/>
  <sheetViews>
    <sheetView showGridLines="0" topLeftCell="A33" zoomScale="60" zoomScaleNormal="60" workbookViewId="0">
      <selection activeCell="D10" sqref="D10"/>
    </sheetView>
  </sheetViews>
  <sheetFormatPr defaultColWidth="9.33203125" defaultRowHeight="13.2" x14ac:dyDescent="0.25"/>
  <cols>
    <col min="1" max="1" width="14.6640625" style="604" customWidth="1"/>
    <col min="2" max="2" width="32.6640625" style="646" bestFit="1" customWidth="1"/>
    <col min="3" max="3" width="21.6640625" style="604" customWidth="1"/>
    <col min="4" max="4" width="19.6640625" style="604" customWidth="1"/>
    <col min="5" max="5" width="19" style="604" customWidth="1"/>
    <col min="6" max="16" width="22.33203125" style="604" customWidth="1"/>
    <col min="17" max="17" width="23.44140625" style="604" customWidth="1"/>
    <col min="18" max="33" width="22.33203125" style="604" customWidth="1"/>
    <col min="34" max="34" width="9.33203125" style="604"/>
    <col min="35" max="35" width="25.6640625" style="604" customWidth="1"/>
    <col min="36" max="36" width="22.33203125" style="604" customWidth="1"/>
    <col min="37" max="16384" width="9.33203125" style="604"/>
  </cols>
  <sheetData>
    <row r="2" spans="1:33" ht="13.8" x14ac:dyDescent="0.25">
      <c r="A2" s="1197" t="str">
        <f>Index!B2</f>
        <v>JAIGAD POWER TRANSCO LIMITED (JPTL)</v>
      </c>
      <c r="B2" s="1197"/>
      <c r="C2" s="1197"/>
      <c r="D2" s="1197"/>
      <c r="E2" s="1197"/>
      <c r="F2" s="1197"/>
      <c r="G2" s="1197"/>
      <c r="H2" s="1197"/>
      <c r="I2" s="1197"/>
      <c r="J2" s="1197"/>
      <c r="K2" s="1197"/>
      <c r="L2" s="1197"/>
      <c r="M2" s="1197"/>
      <c r="N2" s="1197"/>
      <c r="O2" s="1197"/>
      <c r="P2" s="1197"/>
      <c r="Q2" s="1197"/>
      <c r="R2" s="1197"/>
      <c r="S2" s="1197"/>
      <c r="T2" s="1197"/>
      <c r="U2" s="1197"/>
      <c r="V2" s="1197"/>
      <c r="W2" s="1197"/>
      <c r="X2" s="1197"/>
      <c r="Y2" s="1197"/>
    </row>
    <row r="3" spans="1:33" ht="13.8" x14ac:dyDescent="0.25">
      <c r="A3" s="1197" t="s">
        <v>0</v>
      </c>
      <c r="B3" s="1197"/>
      <c r="C3" s="1197"/>
      <c r="D3" s="1197"/>
      <c r="E3" s="1197"/>
      <c r="F3" s="1197"/>
      <c r="G3" s="1197"/>
      <c r="H3" s="1197"/>
      <c r="I3" s="1197"/>
      <c r="J3" s="1197"/>
      <c r="K3" s="1197"/>
      <c r="L3" s="1197"/>
      <c r="M3" s="1197"/>
      <c r="N3" s="1197"/>
      <c r="O3" s="1197"/>
      <c r="P3" s="1197"/>
      <c r="Q3" s="1197"/>
      <c r="R3" s="1197"/>
      <c r="S3" s="1197"/>
      <c r="T3" s="1197"/>
      <c r="U3" s="1197"/>
      <c r="V3" s="1197"/>
      <c r="W3" s="1197"/>
      <c r="X3" s="1197"/>
      <c r="Y3" s="1197"/>
    </row>
    <row r="4" spans="1:33" ht="13.8" x14ac:dyDescent="0.25">
      <c r="A4" s="1198" t="s">
        <v>731</v>
      </c>
      <c r="B4" s="1198"/>
      <c r="C4" s="1198"/>
      <c r="D4" s="1198"/>
      <c r="E4" s="1198"/>
      <c r="F4" s="1198"/>
      <c r="G4" s="1198"/>
      <c r="H4" s="1198"/>
      <c r="I4" s="1198"/>
      <c r="J4" s="1198"/>
      <c r="K4" s="1198"/>
      <c r="L4" s="1198"/>
      <c r="M4" s="1198"/>
      <c r="N4" s="1198"/>
      <c r="O4" s="1198"/>
      <c r="P4" s="1198"/>
      <c r="Q4" s="1198"/>
      <c r="R4" s="1198"/>
      <c r="S4" s="1198"/>
      <c r="T4" s="1198"/>
      <c r="U4" s="1198"/>
      <c r="V4" s="1198"/>
      <c r="W4" s="1198"/>
      <c r="X4" s="1198"/>
      <c r="Y4" s="1198"/>
    </row>
    <row r="5" spans="1:33" x14ac:dyDescent="0.25">
      <c r="B5" s="605" t="s">
        <v>732</v>
      </c>
      <c r="F5" s="606" t="s">
        <v>73</v>
      </c>
      <c r="G5" s="606"/>
      <c r="H5" s="606"/>
      <c r="I5" s="606"/>
      <c r="J5" s="606"/>
      <c r="K5" s="606"/>
    </row>
    <row r="6" spans="1:33" ht="26.4" x14ac:dyDescent="0.3">
      <c r="A6" s="607"/>
      <c r="B6" s="1199" t="s">
        <v>696</v>
      </c>
      <c r="C6" s="1201" t="s">
        <v>733</v>
      </c>
      <c r="D6" s="1201" t="s">
        <v>734</v>
      </c>
      <c r="E6" s="1201" t="s">
        <v>735</v>
      </c>
      <c r="F6" s="1203" t="s">
        <v>736</v>
      </c>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5"/>
      <c r="AE6" s="608" t="s">
        <v>737</v>
      </c>
      <c r="AF6" s="608" t="s">
        <v>738</v>
      </c>
      <c r="AG6" s="608" t="s">
        <v>739</v>
      </c>
    </row>
    <row r="7" spans="1:33" x14ac:dyDescent="0.25">
      <c r="A7" s="607"/>
      <c r="B7" s="1200"/>
      <c r="C7" s="1202"/>
      <c r="D7" s="1202"/>
      <c r="E7" s="1202"/>
      <c r="F7" s="609" t="s">
        <v>740</v>
      </c>
      <c r="G7" s="609" t="s">
        <v>741</v>
      </c>
      <c r="H7" s="609" t="s">
        <v>742</v>
      </c>
      <c r="I7" s="609" t="s">
        <v>743</v>
      </c>
      <c r="J7" s="609" t="s">
        <v>744</v>
      </c>
      <c r="K7" s="609" t="s">
        <v>745</v>
      </c>
      <c r="L7" s="610" t="s">
        <v>746</v>
      </c>
      <c r="M7" s="610" t="s">
        <v>747</v>
      </c>
      <c r="N7" s="610" t="s">
        <v>759</v>
      </c>
      <c r="O7" s="610" t="s">
        <v>748</v>
      </c>
      <c r="P7" s="610" t="s">
        <v>749</v>
      </c>
      <c r="Q7" s="610" t="s">
        <v>750</v>
      </c>
      <c r="R7" s="610" t="s">
        <v>751</v>
      </c>
      <c r="S7" s="610" t="s">
        <v>752</v>
      </c>
      <c r="T7" s="610" t="s">
        <v>753</v>
      </c>
      <c r="U7" s="610" t="s">
        <v>754</v>
      </c>
      <c r="V7" s="610" t="s">
        <v>755</v>
      </c>
      <c r="W7" s="610" t="s">
        <v>756</v>
      </c>
      <c r="X7" s="610" t="s">
        <v>757</v>
      </c>
      <c r="Y7" s="610" t="s">
        <v>77</v>
      </c>
      <c r="Z7" s="610" t="s">
        <v>87</v>
      </c>
      <c r="AA7" s="610" t="s">
        <v>88</v>
      </c>
      <c r="AB7" s="610" t="s">
        <v>89</v>
      </c>
      <c r="AC7" s="610" t="s">
        <v>90</v>
      </c>
      <c r="AD7" s="610" t="s">
        <v>91</v>
      </c>
      <c r="AE7" s="608"/>
      <c r="AF7" s="608"/>
      <c r="AG7" s="608"/>
    </row>
    <row r="8" spans="1:33" x14ac:dyDescent="0.25">
      <c r="A8" s="611" t="s">
        <v>758</v>
      </c>
      <c r="B8" s="612">
        <v>2005</v>
      </c>
      <c r="C8" s="613"/>
      <c r="D8" s="614"/>
      <c r="E8" s="614"/>
      <c r="F8" s="615"/>
      <c r="G8" s="615"/>
      <c r="H8" s="615"/>
      <c r="I8" s="615"/>
      <c r="J8" s="615"/>
      <c r="K8" s="616"/>
      <c r="L8" s="617"/>
      <c r="M8" s="617"/>
      <c r="N8" s="617"/>
      <c r="O8" s="617"/>
      <c r="P8" s="617"/>
      <c r="Q8" s="617"/>
      <c r="R8" s="617"/>
      <c r="S8" s="617"/>
      <c r="T8" s="617"/>
      <c r="U8" s="617"/>
      <c r="V8" s="617"/>
      <c r="W8" s="617"/>
      <c r="X8" s="617"/>
      <c r="Y8" s="617"/>
      <c r="Z8" s="617"/>
      <c r="AA8" s="617"/>
      <c r="AB8" s="617"/>
      <c r="AC8" s="617"/>
      <c r="AD8" s="617"/>
      <c r="AE8" s="618"/>
      <c r="AF8" s="618"/>
      <c r="AG8" s="618"/>
    </row>
    <row r="9" spans="1:33" x14ac:dyDescent="0.25">
      <c r="A9" s="611" t="s">
        <v>138</v>
      </c>
      <c r="B9" s="619" t="s">
        <v>740</v>
      </c>
      <c r="C9" s="613"/>
      <c r="D9" s="614"/>
      <c r="E9" s="614"/>
      <c r="F9" s="620"/>
      <c r="G9" s="616"/>
      <c r="H9" s="616"/>
      <c r="I9" s="616"/>
      <c r="J9" s="616"/>
      <c r="K9" s="616"/>
      <c r="L9" s="617"/>
      <c r="M9" s="617"/>
      <c r="N9" s="617"/>
      <c r="O9" s="617"/>
      <c r="P9" s="617"/>
      <c r="Q9" s="617"/>
      <c r="R9" s="617"/>
      <c r="S9" s="617"/>
      <c r="T9" s="617"/>
      <c r="U9" s="617"/>
      <c r="V9" s="617"/>
      <c r="W9" s="617"/>
      <c r="X9" s="617"/>
      <c r="Y9" s="617"/>
      <c r="Z9" s="617"/>
      <c r="AA9" s="617"/>
      <c r="AB9" s="617"/>
      <c r="AC9" s="617"/>
      <c r="AD9" s="617"/>
      <c r="AE9" s="618"/>
      <c r="AF9" s="618"/>
      <c r="AG9" s="618"/>
    </row>
    <row r="10" spans="1:33" x14ac:dyDescent="0.25">
      <c r="A10" s="611" t="s">
        <v>138</v>
      </c>
      <c r="B10" s="619" t="s">
        <v>741</v>
      </c>
      <c r="C10" s="613"/>
      <c r="D10" s="614"/>
      <c r="E10" s="614"/>
      <c r="F10" s="621"/>
      <c r="G10" s="620"/>
      <c r="H10" s="616"/>
      <c r="I10" s="616"/>
      <c r="J10" s="616"/>
      <c r="K10" s="616"/>
      <c r="L10" s="617"/>
      <c r="M10" s="617"/>
      <c r="N10" s="617"/>
      <c r="O10" s="617"/>
      <c r="P10" s="617"/>
      <c r="Q10" s="617"/>
      <c r="R10" s="617"/>
      <c r="S10" s="617"/>
      <c r="T10" s="617"/>
      <c r="U10" s="617"/>
      <c r="V10" s="617"/>
      <c r="W10" s="617"/>
      <c r="X10" s="617"/>
      <c r="Y10" s="617"/>
      <c r="Z10" s="617"/>
      <c r="AA10" s="617"/>
      <c r="AB10" s="617"/>
      <c r="AC10" s="617"/>
      <c r="AD10" s="617"/>
      <c r="AE10" s="618"/>
      <c r="AF10" s="618"/>
      <c r="AG10" s="618"/>
    </row>
    <row r="11" spans="1:33" x14ac:dyDescent="0.25">
      <c r="A11" s="611" t="s">
        <v>138</v>
      </c>
      <c r="B11" s="619" t="s">
        <v>742</v>
      </c>
      <c r="C11" s="613"/>
      <c r="D11" s="614"/>
      <c r="E11" s="614"/>
      <c r="F11" s="621"/>
      <c r="G11" s="621"/>
      <c r="H11" s="620"/>
      <c r="I11" s="616"/>
      <c r="J11" s="616"/>
      <c r="K11" s="616"/>
      <c r="L11" s="617"/>
      <c r="M11" s="617"/>
      <c r="N11" s="617"/>
      <c r="O11" s="617"/>
      <c r="P11" s="617"/>
      <c r="Q11" s="617"/>
      <c r="R11" s="617"/>
      <c r="S11" s="617"/>
      <c r="T11" s="617"/>
      <c r="U11" s="617"/>
      <c r="V11" s="617"/>
      <c r="W11" s="617"/>
      <c r="X11" s="617"/>
      <c r="Y11" s="617"/>
      <c r="Z11" s="617"/>
      <c r="AA11" s="617"/>
      <c r="AB11" s="617"/>
      <c r="AC11" s="617"/>
      <c r="AD11" s="617"/>
      <c r="AE11" s="618"/>
      <c r="AF11" s="618"/>
      <c r="AG11" s="618"/>
    </row>
    <row r="12" spans="1:33" x14ac:dyDescent="0.25">
      <c r="A12" s="611" t="s">
        <v>138</v>
      </c>
      <c r="B12" s="619" t="s">
        <v>743</v>
      </c>
      <c r="C12" s="613"/>
      <c r="D12" s="614"/>
      <c r="E12" s="614"/>
      <c r="F12" s="621"/>
      <c r="G12" s="621"/>
      <c r="H12" s="621"/>
      <c r="I12" s="620"/>
      <c r="J12" s="616"/>
      <c r="K12" s="616"/>
      <c r="L12" s="617"/>
      <c r="M12" s="617"/>
      <c r="N12" s="617"/>
      <c r="O12" s="617"/>
      <c r="P12" s="617"/>
      <c r="Q12" s="617"/>
      <c r="R12" s="617"/>
      <c r="S12" s="617"/>
      <c r="T12" s="617"/>
      <c r="U12" s="617"/>
      <c r="V12" s="617"/>
      <c r="W12" s="617"/>
      <c r="X12" s="617"/>
      <c r="Y12" s="617"/>
      <c r="Z12" s="617"/>
      <c r="AA12" s="617"/>
      <c r="AB12" s="617"/>
      <c r="AC12" s="617"/>
      <c r="AD12" s="617"/>
      <c r="AE12" s="618"/>
      <c r="AF12" s="618"/>
      <c r="AG12" s="618"/>
    </row>
    <row r="13" spans="1:33" x14ac:dyDescent="0.25">
      <c r="A13" s="611" t="s">
        <v>138</v>
      </c>
      <c r="B13" s="619" t="s">
        <v>744</v>
      </c>
      <c r="C13" s="611"/>
      <c r="D13" s="614"/>
      <c r="E13" s="614"/>
      <c r="F13" s="621"/>
      <c r="G13" s="621"/>
      <c r="H13" s="621"/>
      <c r="I13" s="621"/>
      <c r="J13" s="620"/>
      <c r="K13" s="616"/>
      <c r="L13" s="617"/>
      <c r="M13" s="617"/>
      <c r="N13" s="617"/>
      <c r="O13" s="617"/>
      <c r="P13" s="617"/>
      <c r="Q13" s="617"/>
      <c r="R13" s="617"/>
      <c r="S13" s="617"/>
      <c r="T13" s="617"/>
      <c r="U13" s="617"/>
      <c r="V13" s="617"/>
      <c r="W13" s="617"/>
      <c r="X13" s="617"/>
      <c r="Y13" s="617"/>
      <c r="Z13" s="617"/>
      <c r="AA13" s="617"/>
      <c r="AB13" s="617"/>
      <c r="AC13" s="617"/>
      <c r="AD13" s="617"/>
      <c r="AE13" s="618"/>
      <c r="AF13" s="618"/>
      <c r="AG13" s="618"/>
    </row>
    <row r="14" spans="1:33" x14ac:dyDescent="0.25">
      <c r="A14" s="611" t="s">
        <v>138</v>
      </c>
      <c r="B14" s="619" t="s">
        <v>745</v>
      </c>
      <c r="C14" s="611"/>
      <c r="D14" s="614"/>
      <c r="E14" s="614"/>
      <c r="F14" s="621"/>
      <c r="G14" s="621"/>
      <c r="H14" s="621"/>
      <c r="I14" s="621"/>
      <c r="J14" s="621"/>
      <c r="K14" s="620"/>
      <c r="L14" s="617"/>
      <c r="M14" s="617"/>
      <c r="N14" s="617"/>
      <c r="O14" s="617"/>
      <c r="P14" s="617"/>
      <c r="Q14" s="617"/>
      <c r="R14" s="617"/>
      <c r="S14" s="617"/>
      <c r="T14" s="617"/>
      <c r="U14" s="617"/>
      <c r="V14" s="617"/>
      <c r="W14" s="617"/>
      <c r="X14" s="617"/>
      <c r="Y14" s="617"/>
      <c r="Z14" s="617"/>
      <c r="AA14" s="617"/>
      <c r="AB14" s="617"/>
      <c r="AC14" s="617"/>
      <c r="AD14" s="617"/>
      <c r="AE14" s="618"/>
      <c r="AF14" s="618"/>
      <c r="AG14" s="618"/>
    </row>
    <row r="15" spans="1:33" x14ac:dyDescent="0.25">
      <c r="A15" s="611" t="s">
        <v>138</v>
      </c>
      <c r="B15" s="612" t="s">
        <v>746</v>
      </c>
      <c r="C15" s="611"/>
      <c r="D15" s="614"/>
      <c r="E15" s="614"/>
      <c r="F15" s="621"/>
      <c r="G15" s="621"/>
      <c r="H15" s="621"/>
      <c r="I15" s="621"/>
      <c r="J15" s="621"/>
      <c r="K15" s="621"/>
      <c r="L15" s="622"/>
      <c r="M15" s="617"/>
      <c r="N15" s="617"/>
      <c r="O15" s="617"/>
      <c r="P15" s="617"/>
      <c r="Q15" s="617"/>
      <c r="R15" s="617"/>
      <c r="S15" s="617"/>
      <c r="T15" s="617"/>
      <c r="U15" s="617"/>
      <c r="V15" s="617"/>
      <c r="W15" s="617"/>
      <c r="X15" s="617"/>
      <c r="Y15" s="617"/>
      <c r="Z15" s="617"/>
      <c r="AA15" s="617"/>
      <c r="AB15" s="617"/>
      <c r="AC15" s="617"/>
      <c r="AD15" s="617"/>
      <c r="AE15" s="618"/>
      <c r="AF15" s="618"/>
      <c r="AG15" s="618"/>
    </row>
    <row r="16" spans="1:33" x14ac:dyDescent="0.25">
      <c r="A16" s="611" t="s">
        <v>138</v>
      </c>
      <c r="B16" s="612" t="s">
        <v>747</v>
      </c>
      <c r="C16" s="611"/>
      <c r="D16" s="614"/>
      <c r="E16" s="614"/>
      <c r="F16" s="621"/>
      <c r="G16" s="621"/>
      <c r="H16" s="621"/>
      <c r="I16" s="621"/>
      <c r="J16" s="621"/>
      <c r="K16" s="621"/>
      <c r="L16" s="623"/>
      <c r="M16" s="622"/>
      <c r="N16" s="617"/>
      <c r="O16" s="617"/>
      <c r="P16" s="617"/>
      <c r="Q16" s="617"/>
      <c r="R16" s="617"/>
      <c r="S16" s="617"/>
      <c r="T16" s="617"/>
      <c r="U16" s="617"/>
      <c r="V16" s="617"/>
      <c r="W16" s="617"/>
      <c r="X16" s="617"/>
      <c r="Y16" s="617"/>
      <c r="Z16" s="617"/>
      <c r="AA16" s="617"/>
      <c r="AB16" s="617"/>
      <c r="AC16" s="617"/>
      <c r="AD16" s="617"/>
      <c r="AE16" s="618"/>
      <c r="AF16" s="618"/>
      <c r="AG16" s="618"/>
    </row>
    <row r="17" spans="1:33" x14ac:dyDescent="0.25">
      <c r="A17" s="611" t="s">
        <v>138</v>
      </c>
      <c r="B17" s="612" t="s">
        <v>759</v>
      </c>
      <c r="C17" s="611"/>
      <c r="D17" s="614"/>
      <c r="E17" s="614"/>
      <c r="F17" s="621"/>
      <c r="G17" s="621"/>
      <c r="H17" s="621"/>
      <c r="I17" s="621"/>
      <c r="J17" s="621"/>
      <c r="K17" s="621"/>
      <c r="L17" s="623"/>
      <c r="M17" s="623"/>
      <c r="N17" s="622"/>
      <c r="O17" s="617"/>
      <c r="P17" s="617"/>
      <c r="Q17" s="617"/>
      <c r="R17" s="617"/>
      <c r="S17" s="617"/>
      <c r="T17" s="617"/>
      <c r="U17" s="617"/>
      <c r="V17" s="617"/>
      <c r="W17" s="617"/>
      <c r="X17" s="617"/>
      <c r="Y17" s="617"/>
      <c r="Z17" s="617"/>
      <c r="AA17" s="617"/>
      <c r="AB17" s="617"/>
      <c r="AC17" s="617"/>
      <c r="AD17" s="617"/>
      <c r="AE17" s="618"/>
      <c r="AF17" s="618"/>
      <c r="AG17" s="618"/>
    </row>
    <row r="18" spans="1:33" x14ac:dyDescent="0.25">
      <c r="A18" s="611" t="s">
        <v>138</v>
      </c>
      <c r="B18" s="612" t="s">
        <v>748</v>
      </c>
      <c r="C18" s="611"/>
      <c r="D18" s="614"/>
      <c r="E18" s="614"/>
      <c r="F18" s="621"/>
      <c r="G18" s="621"/>
      <c r="H18" s="621"/>
      <c r="I18" s="621"/>
      <c r="J18" s="621"/>
      <c r="K18" s="621"/>
      <c r="L18" s="623"/>
      <c r="M18" s="623"/>
      <c r="N18" s="623"/>
      <c r="O18" s="622"/>
      <c r="P18" s="617"/>
      <c r="Q18" s="617"/>
      <c r="R18" s="617"/>
      <c r="S18" s="617"/>
      <c r="T18" s="617"/>
      <c r="U18" s="617"/>
      <c r="V18" s="617"/>
      <c r="W18" s="617"/>
      <c r="X18" s="617"/>
      <c r="Y18" s="617"/>
      <c r="Z18" s="617"/>
      <c r="AA18" s="617"/>
      <c r="AB18" s="617"/>
      <c r="AC18" s="617"/>
      <c r="AD18" s="617"/>
      <c r="AE18" s="618"/>
      <c r="AF18" s="618"/>
      <c r="AG18" s="618"/>
    </row>
    <row r="19" spans="1:33" x14ac:dyDescent="0.25">
      <c r="A19" s="611" t="s">
        <v>138</v>
      </c>
      <c r="B19" s="612" t="s">
        <v>749</v>
      </c>
      <c r="C19" s="611"/>
      <c r="D19" s="614"/>
      <c r="E19" s="614"/>
      <c r="F19" s="621"/>
      <c r="G19" s="621"/>
      <c r="H19" s="621"/>
      <c r="I19" s="621"/>
      <c r="J19" s="621"/>
      <c r="K19" s="621"/>
      <c r="L19" s="623"/>
      <c r="M19" s="623"/>
      <c r="N19" s="623"/>
      <c r="O19" s="623"/>
      <c r="P19" s="622"/>
      <c r="Q19" s="617"/>
      <c r="R19" s="617"/>
      <c r="S19" s="617"/>
      <c r="T19" s="617"/>
      <c r="U19" s="617"/>
      <c r="V19" s="617"/>
      <c r="W19" s="617"/>
      <c r="X19" s="617"/>
      <c r="Y19" s="617"/>
      <c r="Z19" s="617"/>
      <c r="AA19" s="617"/>
      <c r="AB19" s="617"/>
      <c r="AC19" s="617"/>
      <c r="AD19" s="617"/>
      <c r="AE19" s="618"/>
      <c r="AF19" s="618"/>
      <c r="AG19" s="618"/>
    </row>
    <row r="20" spans="1:33" x14ac:dyDescent="0.25">
      <c r="A20" s="611" t="s">
        <v>138</v>
      </c>
      <c r="B20" s="612" t="s">
        <v>760</v>
      </c>
      <c r="C20" s="618"/>
      <c r="D20" s="614"/>
      <c r="E20" s="614"/>
      <c r="F20" s="621"/>
      <c r="G20" s="621"/>
      <c r="H20" s="621"/>
      <c r="I20" s="621"/>
      <c r="J20" s="621"/>
      <c r="K20" s="621"/>
      <c r="L20" s="623"/>
      <c r="M20" s="623"/>
      <c r="N20" s="623"/>
      <c r="O20" s="623"/>
      <c r="P20" s="623"/>
      <c r="Q20" s="622"/>
      <c r="R20" s="617"/>
      <c r="S20" s="617"/>
      <c r="T20" s="617"/>
      <c r="U20" s="617"/>
      <c r="V20" s="617"/>
      <c r="W20" s="617"/>
      <c r="X20" s="617"/>
      <c r="Y20" s="617"/>
      <c r="Z20" s="617"/>
      <c r="AA20" s="617"/>
      <c r="AB20" s="617"/>
      <c r="AC20" s="617"/>
      <c r="AD20" s="617"/>
      <c r="AE20" s="618"/>
      <c r="AF20" s="618"/>
      <c r="AG20" s="618"/>
    </row>
    <row r="21" spans="1:33" x14ac:dyDescent="0.25">
      <c r="A21" s="611" t="s">
        <v>138</v>
      </c>
      <c r="B21" s="612" t="s">
        <v>751</v>
      </c>
      <c r="C21" s="618"/>
      <c r="D21" s="614"/>
      <c r="E21" s="614"/>
      <c r="F21" s="621"/>
      <c r="G21" s="621"/>
      <c r="H21" s="621"/>
      <c r="I21" s="621"/>
      <c r="J21" s="621"/>
      <c r="K21" s="621"/>
      <c r="L21" s="623"/>
      <c r="M21" s="623"/>
      <c r="N21" s="623"/>
      <c r="O21" s="623"/>
      <c r="P21" s="623"/>
      <c r="Q21" s="623"/>
      <c r="R21" s="622"/>
      <c r="T21" s="618"/>
      <c r="U21" s="618"/>
      <c r="V21" s="618"/>
      <c r="W21" s="617"/>
      <c r="X21" s="617"/>
      <c r="Y21" s="617"/>
      <c r="Z21" s="617"/>
      <c r="AA21" s="617"/>
      <c r="AB21" s="617"/>
      <c r="AC21" s="617"/>
      <c r="AD21" s="617"/>
      <c r="AE21" s="618"/>
      <c r="AF21" s="618"/>
      <c r="AG21" s="618"/>
    </row>
    <row r="22" spans="1:33" x14ac:dyDescent="0.25">
      <c r="A22" s="611" t="s">
        <v>138</v>
      </c>
      <c r="B22" s="612" t="s">
        <v>752</v>
      </c>
      <c r="C22" s="618"/>
      <c r="D22" s="614"/>
      <c r="E22" s="614"/>
      <c r="F22" s="621"/>
      <c r="G22" s="621"/>
      <c r="H22" s="621"/>
      <c r="I22" s="621"/>
      <c r="J22" s="621"/>
      <c r="K22" s="621"/>
      <c r="L22" s="623"/>
      <c r="M22" s="623"/>
      <c r="N22" s="623"/>
      <c r="O22" s="623"/>
      <c r="P22" s="623"/>
      <c r="Q22" s="623"/>
      <c r="R22" s="623"/>
      <c r="S22" s="622"/>
      <c r="T22" s="618"/>
      <c r="U22" s="618"/>
      <c r="V22" s="618"/>
      <c r="W22" s="617"/>
      <c r="X22" s="617"/>
      <c r="Y22" s="617"/>
      <c r="Z22" s="617"/>
      <c r="AA22" s="617"/>
      <c r="AB22" s="617"/>
      <c r="AC22" s="617"/>
      <c r="AD22" s="617"/>
      <c r="AE22" s="618"/>
      <c r="AF22" s="618"/>
      <c r="AG22" s="618"/>
    </row>
    <row r="23" spans="1:33" x14ac:dyDescent="0.25">
      <c r="A23" s="611" t="s">
        <v>138</v>
      </c>
      <c r="B23" s="612" t="s">
        <v>753</v>
      </c>
      <c r="C23" s="618"/>
      <c r="D23" s="614"/>
      <c r="E23" s="614"/>
      <c r="F23" s="621"/>
      <c r="G23" s="621"/>
      <c r="H23" s="621"/>
      <c r="I23" s="621"/>
      <c r="J23" s="621"/>
      <c r="K23" s="621"/>
      <c r="L23" s="623"/>
      <c r="M23" s="623"/>
      <c r="N23" s="623"/>
      <c r="O23" s="623"/>
      <c r="P23" s="623"/>
      <c r="Q23" s="623"/>
      <c r="R23" s="623"/>
      <c r="S23" s="623"/>
      <c r="T23" s="622"/>
      <c r="U23" s="618"/>
      <c r="V23" s="618"/>
      <c r="W23" s="617"/>
      <c r="X23" s="617"/>
      <c r="Y23" s="617"/>
      <c r="Z23" s="617"/>
      <c r="AA23" s="617"/>
      <c r="AB23" s="617"/>
      <c r="AC23" s="617"/>
      <c r="AD23" s="617"/>
      <c r="AE23" s="618"/>
      <c r="AF23" s="618"/>
      <c r="AG23" s="618"/>
    </row>
    <row r="24" spans="1:33" x14ac:dyDescent="0.25">
      <c r="A24" s="611" t="s">
        <v>138</v>
      </c>
      <c r="B24" s="612" t="s">
        <v>754</v>
      </c>
      <c r="C24" s="618"/>
      <c r="D24" s="614"/>
      <c r="E24" s="614"/>
      <c r="F24" s="621"/>
      <c r="G24" s="621"/>
      <c r="H24" s="621"/>
      <c r="I24" s="621"/>
      <c r="J24" s="621"/>
      <c r="K24" s="621"/>
      <c r="L24" s="623"/>
      <c r="M24" s="623"/>
      <c r="N24" s="623"/>
      <c r="O24" s="623"/>
      <c r="P24" s="623"/>
      <c r="Q24" s="623"/>
      <c r="R24" s="623"/>
      <c r="S24" s="623"/>
      <c r="T24" s="623"/>
      <c r="U24" s="622"/>
      <c r="V24" s="618"/>
      <c r="W24" s="617"/>
      <c r="X24" s="617"/>
      <c r="Y24" s="617"/>
      <c r="Z24" s="617"/>
      <c r="AA24" s="617"/>
      <c r="AB24" s="617"/>
      <c r="AC24" s="617"/>
      <c r="AD24" s="617"/>
      <c r="AE24" s="618"/>
      <c r="AF24" s="618"/>
      <c r="AG24" s="618"/>
    </row>
    <row r="25" spans="1:33" x14ac:dyDescent="0.25">
      <c r="A25" s="611" t="s">
        <v>138</v>
      </c>
      <c r="B25" s="612" t="s">
        <v>755</v>
      </c>
      <c r="C25" s="618"/>
      <c r="D25" s="614"/>
      <c r="E25" s="614"/>
      <c r="F25" s="621"/>
      <c r="G25" s="621"/>
      <c r="H25" s="621"/>
      <c r="I25" s="621"/>
      <c r="J25" s="621"/>
      <c r="K25" s="621"/>
      <c r="L25" s="623"/>
      <c r="M25" s="623"/>
      <c r="N25" s="623"/>
      <c r="O25" s="623"/>
      <c r="P25" s="623"/>
      <c r="Q25" s="623"/>
      <c r="R25" s="623"/>
      <c r="S25" s="623"/>
      <c r="T25" s="623"/>
      <c r="U25" s="623"/>
      <c r="V25" s="622"/>
      <c r="W25" s="617"/>
      <c r="X25" s="617"/>
      <c r="Y25" s="617"/>
      <c r="Z25" s="617"/>
      <c r="AA25" s="617"/>
      <c r="AB25" s="617"/>
      <c r="AC25" s="617"/>
      <c r="AD25" s="617"/>
      <c r="AE25" s="618"/>
      <c r="AF25" s="618"/>
      <c r="AG25" s="618"/>
    </row>
    <row r="26" spans="1:33" x14ac:dyDescent="0.25">
      <c r="A26" s="611" t="s">
        <v>138</v>
      </c>
      <c r="B26" s="612" t="s">
        <v>756</v>
      </c>
      <c r="C26" s="618"/>
      <c r="D26" s="614"/>
      <c r="E26" s="614"/>
      <c r="F26" s="621"/>
      <c r="G26" s="621"/>
      <c r="H26" s="621"/>
      <c r="I26" s="621"/>
      <c r="J26" s="621"/>
      <c r="K26" s="621"/>
      <c r="L26" s="623"/>
      <c r="M26" s="623"/>
      <c r="N26" s="623"/>
      <c r="O26" s="623"/>
      <c r="P26" s="623"/>
      <c r="Q26" s="623"/>
      <c r="R26" s="623"/>
      <c r="S26" s="623"/>
      <c r="T26" s="623"/>
      <c r="U26" s="623"/>
      <c r="V26" s="623"/>
      <c r="W26" s="622"/>
      <c r="X26" s="617"/>
      <c r="Y26" s="617"/>
      <c r="Z26" s="617"/>
      <c r="AA26" s="617"/>
      <c r="AB26" s="617"/>
      <c r="AC26" s="617"/>
      <c r="AD26" s="617"/>
      <c r="AE26" s="618"/>
      <c r="AF26" s="618"/>
      <c r="AG26" s="618"/>
    </row>
    <row r="27" spans="1:33" x14ac:dyDescent="0.25">
      <c r="A27" s="611" t="s">
        <v>138</v>
      </c>
      <c r="B27" s="612" t="s">
        <v>757</v>
      </c>
      <c r="C27" s="618"/>
      <c r="D27" s="614"/>
      <c r="E27" s="614"/>
      <c r="F27" s="621"/>
      <c r="G27" s="621"/>
      <c r="H27" s="621"/>
      <c r="I27" s="621"/>
      <c r="J27" s="621"/>
      <c r="K27" s="621"/>
      <c r="L27" s="623"/>
      <c r="M27" s="623"/>
      <c r="N27" s="623"/>
      <c r="O27" s="623"/>
      <c r="P27" s="623"/>
      <c r="Q27" s="623"/>
      <c r="R27" s="623"/>
      <c r="S27" s="623"/>
      <c r="T27" s="623"/>
      <c r="U27" s="623"/>
      <c r="V27" s="623"/>
      <c r="W27" s="623"/>
      <c r="X27" s="622"/>
      <c r="Y27" s="617"/>
      <c r="Z27" s="617"/>
      <c r="AA27" s="617"/>
      <c r="AB27" s="617"/>
      <c r="AC27" s="617"/>
      <c r="AD27" s="617"/>
      <c r="AE27" s="618"/>
      <c r="AF27" s="618"/>
      <c r="AG27" s="618"/>
    </row>
    <row r="28" spans="1:33" x14ac:dyDescent="0.25">
      <c r="A28" s="611" t="s">
        <v>138</v>
      </c>
      <c r="B28" s="612" t="s">
        <v>761</v>
      </c>
      <c r="C28" s="618"/>
      <c r="D28" s="614"/>
      <c r="E28" s="614"/>
      <c r="F28" s="621"/>
      <c r="G28" s="621"/>
      <c r="H28" s="621"/>
      <c r="I28" s="621"/>
      <c r="J28" s="621"/>
      <c r="K28" s="621"/>
      <c r="L28" s="623"/>
      <c r="M28" s="623"/>
      <c r="N28" s="623"/>
      <c r="O28" s="623"/>
      <c r="P28" s="623"/>
      <c r="Q28" s="623"/>
      <c r="R28" s="623"/>
      <c r="S28" s="623"/>
      <c r="T28" s="623"/>
      <c r="U28" s="623"/>
      <c r="V28" s="623"/>
      <c r="W28" s="623"/>
      <c r="X28" s="623"/>
      <c r="Y28" s="622"/>
      <c r="Z28" s="617"/>
      <c r="AA28" s="617"/>
      <c r="AB28" s="617"/>
      <c r="AC28" s="617"/>
      <c r="AD28" s="617"/>
      <c r="AE28" s="618"/>
      <c r="AF28" s="618"/>
      <c r="AG28" s="618"/>
    </row>
    <row r="29" spans="1:33" x14ac:dyDescent="0.25">
      <c r="A29" s="611" t="s">
        <v>138</v>
      </c>
      <c r="B29" s="612" t="s">
        <v>762</v>
      </c>
      <c r="C29" s="618"/>
      <c r="D29" s="614"/>
      <c r="E29" s="614"/>
      <c r="F29" s="621"/>
      <c r="G29" s="621"/>
      <c r="H29" s="621"/>
      <c r="I29" s="621"/>
      <c r="J29" s="621"/>
      <c r="K29" s="621"/>
      <c r="L29" s="623"/>
      <c r="M29" s="623"/>
      <c r="N29" s="623"/>
      <c r="O29" s="623"/>
      <c r="P29" s="623"/>
      <c r="Q29" s="623"/>
      <c r="R29" s="623"/>
      <c r="S29" s="623"/>
      <c r="T29" s="623"/>
      <c r="U29" s="623"/>
      <c r="V29" s="623"/>
      <c r="W29" s="623"/>
      <c r="X29" s="623"/>
      <c r="Y29" s="623"/>
      <c r="Z29" s="622"/>
      <c r="AA29" s="617"/>
      <c r="AB29" s="617"/>
      <c r="AC29" s="617"/>
      <c r="AD29" s="617"/>
      <c r="AE29" s="618"/>
      <c r="AF29" s="618"/>
      <c r="AG29" s="618"/>
    </row>
    <row r="30" spans="1:33" x14ac:dyDescent="0.25">
      <c r="A30" s="611" t="s">
        <v>138</v>
      </c>
      <c r="B30" s="612" t="s">
        <v>763</v>
      </c>
      <c r="C30" s="618"/>
      <c r="D30" s="614"/>
      <c r="E30" s="614"/>
      <c r="F30" s="621"/>
      <c r="G30" s="621"/>
      <c r="H30" s="621"/>
      <c r="I30" s="621"/>
      <c r="J30" s="621"/>
      <c r="K30" s="621"/>
      <c r="L30" s="623"/>
      <c r="M30" s="623"/>
      <c r="N30" s="623"/>
      <c r="O30" s="623"/>
      <c r="P30" s="623"/>
      <c r="Q30" s="623"/>
      <c r="R30" s="623"/>
      <c r="S30" s="623"/>
      <c r="T30" s="623"/>
      <c r="U30" s="623"/>
      <c r="V30" s="623"/>
      <c r="W30" s="623"/>
      <c r="X30" s="623"/>
      <c r="Y30" s="623"/>
      <c r="Z30" s="623"/>
      <c r="AA30" s="622"/>
      <c r="AB30" s="617"/>
      <c r="AC30" s="617"/>
      <c r="AD30" s="617"/>
      <c r="AE30" s="618"/>
      <c r="AF30" s="618"/>
      <c r="AG30" s="618"/>
    </row>
    <row r="31" spans="1:33" x14ac:dyDescent="0.25">
      <c r="A31" s="611" t="s">
        <v>138</v>
      </c>
      <c r="B31" s="612" t="s">
        <v>764</v>
      </c>
      <c r="C31" s="618"/>
      <c r="D31" s="614"/>
      <c r="E31" s="614"/>
      <c r="F31" s="621"/>
      <c r="G31" s="621"/>
      <c r="H31" s="621"/>
      <c r="I31" s="621"/>
      <c r="J31" s="621"/>
      <c r="K31" s="621"/>
      <c r="L31" s="623"/>
      <c r="M31" s="623"/>
      <c r="N31" s="623"/>
      <c r="O31" s="623"/>
      <c r="P31" s="623"/>
      <c r="Q31" s="623"/>
      <c r="R31" s="623"/>
      <c r="S31" s="623"/>
      <c r="T31" s="623"/>
      <c r="U31" s="623"/>
      <c r="V31" s="623"/>
      <c r="W31" s="623"/>
      <c r="X31" s="623"/>
      <c r="Y31" s="623"/>
      <c r="Z31" s="623"/>
      <c r="AA31" s="623"/>
      <c r="AB31" s="622"/>
      <c r="AC31" s="617"/>
      <c r="AD31" s="617"/>
      <c r="AE31" s="618"/>
      <c r="AF31" s="618"/>
      <c r="AG31" s="618"/>
    </row>
    <row r="32" spans="1:33" x14ac:dyDescent="0.25">
      <c r="A32" s="611" t="s">
        <v>138</v>
      </c>
      <c r="B32" s="612" t="s">
        <v>765</v>
      </c>
      <c r="C32" s="618"/>
      <c r="D32" s="614"/>
      <c r="E32" s="614"/>
      <c r="F32" s="621"/>
      <c r="G32" s="621"/>
      <c r="H32" s="621"/>
      <c r="I32" s="621"/>
      <c r="J32" s="621"/>
      <c r="K32" s="621"/>
      <c r="L32" s="623"/>
      <c r="M32" s="623"/>
      <c r="N32" s="623"/>
      <c r="O32" s="623"/>
      <c r="P32" s="623"/>
      <c r="Q32" s="623"/>
      <c r="R32" s="623"/>
      <c r="S32" s="623"/>
      <c r="T32" s="623"/>
      <c r="U32" s="623"/>
      <c r="V32" s="623"/>
      <c r="W32" s="623"/>
      <c r="X32" s="623"/>
      <c r="Y32" s="623"/>
      <c r="Z32" s="623"/>
      <c r="AA32" s="623"/>
      <c r="AB32" s="623"/>
      <c r="AC32" s="622"/>
      <c r="AD32" s="617"/>
      <c r="AE32" s="618"/>
      <c r="AF32" s="618"/>
      <c r="AG32" s="618"/>
    </row>
    <row r="33" spans="1:36" x14ac:dyDescent="0.25">
      <c r="A33" s="611" t="s">
        <v>138</v>
      </c>
      <c r="B33" s="612" t="s">
        <v>766</v>
      </c>
      <c r="C33" s="618"/>
      <c r="D33" s="614"/>
      <c r="E33" s="614"/>
      <c r="F33" s="621"/>
      <c r="G33" s="621"/>
      <c r="H33" s="621"/>
      <c r="I33" s="621"/>
      <c r="J33" s="621"/>
      <c r="K33" s="621"/>
      <c r="L33" s="623"/>
      <c r="M33" s="623"/>
      <c r="N33" s="623"/>
      <c r="O33" s="623"/>
      <c r="P33" s="623"/>
      <c r="Q33" s="623"/>
      <c r="R33" s="623"/>
      <c r="S33" s="623"/>
      <c r="T33" s="623"/>
      <c r="U33" s="623"/>
      <c r="V33" s="623"/>
      <c r="W33" s="623"/>
      <c r="X33" s="623"/>
      <c r="Y33" s="623"/>
      <c r="Z33" s="623"/>
      <c r="AA33" s="623"/>
      <c r="AB33" s="623"/>
      <c r="AC33" s="623"/>
      <c r="AD33" s="622"/>
      <c r="AE33" s="618"/>
      <c r="AF33" s="618"/>
      <c r="AG33" s="618"/>
    </row>
    <row r="34" spans="1:36" x14ac:dyDescent="0.25">
      <c r="A34" s="624"/>
      <c r="B34" s="625" t="s">
        <v>180</v>
      </c>
      <c r="C34" s="626"/>
      <c r="D34" s="626"/>
      <c r="E34" s="626"/>
      <c r="F34" s="626"/>
      <c r="G34" s="626"/>
      <c r="H34" s="626"/>
      <c r="I34" s="626"/>
      <c r="J34" s="626"/>
      <c r="K34" s="626"/>
      <c r="L34" s="626"/>
      <c r="M34" s="626"/>
      <c r="N34" s="626"/>
      <c r="O34" s="626"/>
      <c r="P34" s="626"/>
      <c r="Q34" s="626"/>
      <c r="R34" s="626"/>
      <c r="S34" s="626"/>
      <c r="T34" s="626"/>
      <c r="U34" s="626"/>
      <c r="V34" s="626"/>
      <c r="W34" s="626"/>
      <c r="X34" s="626"/>
      <c r="Y34" s="626"/>
      <c r="Z34" s="626"/>
      <c r="AA34" s="626"/>
      <c r="AB34" s="626"/>
      <c r="AC34" s="626"/>
      <c r="AD34" s="626"/>
      <c r="AE34" s="626"/>
      <c r="AF34" s="626"/>
      <c r="AG34" s="626"/>
    </row>
    <row r="36" spans="1:36" x14ac:dyDescent="0.25">
      <c r="B36" s="605" t="s">
        <v>865</v>
      </c>
      <c r="F36" s="606" t="s">
        <v>73</v>
      </c>
      <c r="G36" s="606"/>
      <c r="H36" s="606"/>
      <c r="I36" s="606"/>
      <c r="J36" s="606"/>
      <c r="K36" s="606"/>
      <c r="L36" s="627"/>
      <c r="M36" s="627"/>
      <c r="N36" s="628" t="e">
        <f>SUM($M$48:N48)/$C$48</f>
        <v>#DIV/0!</v>
      </c>
      <c r="O36" s="628" t="e">
        <f>SUM($M$48:O48)/$C$48</f>
        <v>#DIV/0!</v>
      </c>
      <c r="P36" s="628" t="e">
        <f>SUM($M$48:P48)/$C$48</f>
        <v>#DIV/0!</v>
      </c>
      <c r="Q36" s="628" t="e">
        <f>SUM($M$48:Q48)/$C$48</f>
        <v>#DIV/0!</v>
      </c>
      <c r="R36" s="628" t="e">
        <f>SUM($M$48:R48)/$C$48</f>
        <v>#DIV/0!</v>
      </c>
      <c r="S36" s="628" t="e">
        <f>SUM($M$48:S48)/$C$48</f>
        <v>#DIV/0!</v>
      </c>
      <c r="T36" s="628" t="e">
        <f>SUM($M$48:T48)/$C$48</f>
        <v>#DIV/0!</v>
      </c>
      <c r="U36" s="628" t="e">
        <f>SUM($M$48:U48)/$C$48</f>
        <v>#DIV/0!</v>
      </c>
      <c r="V36" s="628" t="e">
        <f>SUM($M$48:V48)/$C$48</f>
        <v>#DIV/0!</v>
      </c>
      <c r="W36" s="628" t="e">
        <f>SUM($M$48:W48)/$C$48</f>
        <v>#DIV/0!</v>
      </c>
      <c r="X36" s="628" t="e">
        <f>SUM($M$48:X48)/$C$48</f>
        <v>#DIV/0!</v>
      </c>
      <c r="Y36" s="628" t="e">
        <f>SUM($M$48:Y48)/$C$48</f>
        <v>#DIV/0!</v>
      </c>
      <c r="Z36" s="628" t="e">
        <f>SUM($M$48:Z48)/$C$48</f>
        <v>#DIV/0!</v>
      </c>
      <c r="AA36" s="628" t="e">
        <f>SUM($M$48:AA48)/$C$48</f>
        <v>#DIV/0!</v>
      </c>
      <c r="AB36" s="628" t="e">
        <f>SUM($M$48:AB48)/$C$48</f>
        <v>#DIV/0!</v>
      </c>
      <c r="AC36" s="628" t="e">
        <f>SUM($M$48:AC48)/$C$48</f>
        <v>#DIV/0!</v>
      </c>
      <c r="AD36" s="628" t="e">
        <f>SUM($M$48:AD48)/$C$48</f>
        <v>#DIV/0!</v>
      </c>
    </row>
    <row r="37" spans="1:36" s="631" customFormat="1" ht="26.4" x14ac:dyDescent="0.3">
      <c r="A37" s="629"/>
      <c r="B37" s="630" t="s">
        <v>696</v>
      </c>
      <c r="C37" s="1201" t="s">
        <v>767</v>
      </c>
      <c r="D37" s="1201" t="s">
        <v>734</v>
      </c>
      <c r="E37" s="1201" t="s">
        <v>735</v>
      </c>
      <c r="F37" s="1203" t="s">
        <v>736</v>
      </c>
      <c r="G37" s="1204"/>
      <c r="H37" s="1204"/>
      <c r="I37" s="1204"/>
      <c r="J37" s="1204"/>
      <c r="K37" s="1204"/>
      <c r="L37" s="1204"/>
      <c r="M37" s="1204"/>
      <c r="N37" s="1204"/>
      <c r="O37" s="1204"/>
      <c r="P37" s="1204"/>
      <c r="Q37" s="1204"/>
      <c r="R37" s="1204"/>
      <c r="S37" s="1204"/>
      <c r="T37" s="1204"/>
      <c r="U37" s="1204"/>
      <c r="V37" s="1204"/>
      <c r="W37" s="1204"/>
      <c r="X37" s="1204"/>
      <c r="Y37" s="1204"/>
      <c r="Z37" s="1204"/>
      <c r="AA37" s="1204"/>
      <c r="AB37" s="1204"/>
      <c r="AC37" s="1204"/>
      <c r="AD37" s="1205"/>
      <c r="AE37" s="608" t="s">
        <v>737</v>
      </c>
      <c r="AF37" s="608" t="s">
        <v>738</v>
      </c>
      <c r="AG37" s="608" t="s">
        <v>739</v>
      </c>
      <c r="AI37" s="632"/>
      <c r="AJ37" s="632"/>
    </row>
    <row r="38" spans="1:36" s="631" customFormat="1" x14ac:dyDescent="0.25">
      <c r="A38" s="629"/>
      <c r="B38" s="630"/>
      <c r="C38" s="1202"/>
      <c r="D38" s="1202"/>
      <c r="E38" s="1202"/>
      <c r="F38" s="609" t="s">
        <v>740</v>
      </c>
      <c r="G38" s="609" t="s">
        <v>741</v>
      </c>
      <c r="H38" s="609" t="s">
        <v>742</v>
      </c>
      <c r="I38" s="609" t="s">
        <v>743</v>
      </c>
      <c r="J38" s="609" t="s">
        <v>744</v>
      </c>
      <c r="K38" s="609" t="s">
        <v>745</v>
      </c>
      <c r="L38" s="610" t="s">
        <v>746</v>
      </c>
      <c r="M38" s="610" t="s">
        <v>747</v>
      </c>
      <c r="N38" s="610" t="s">
        <v>759</v>
      </c>
      <c r="O38" s="610" t="s">
        <v>748</v>
      </c>
      <c r="P38" s="610" t="s">
        <v>749</v>
      </c>
      <c r="Q38" s="610" t="s">
        <v>750</v>
      </c>
      <c r="R38" s="610" t="s">
        <v>751</v>
      </c>
      <c r="S38" s="610" t="s">
        <v>752</v>
      </c>
      <c r="T38" s="610" t="s">
        <v>753</v>
      </c>
      <c r="U38" s="610" t="s">
        <v>754</v>
      </c>
      <c r="V38" s="610" t="s">
        <v>755</v>
      </c>
      <c r="W38" s="610" t="s">
        <v>756</v>
      </c>
      <c r="X38" s="610" t="s">
        <v>757</v>
      </c>
      <c r="Y38" s="610" t="s">
        <v>77</v>
      </c>
      <c r="Z38" s="610" t="s">
        <v>87</v>
      </c>
      <c r="AA38" s="610" t="s">
        <v>88</v>
      </c>
      <c r="AB38" s="610" t="s">
        <v>89</v>
      </c>
      <c r="AC38" s="610" t="s">
        <v>90</v>
      </c>
      <c r="AD38" s="610" t="s">
        <v>91</v>
      </c>
      <c r="AE38" s="608"/>
      <c r="AF38" s="608"/>
      <c r="AG38" s="608"/>
      <c r="AI38" s="632"/>
      <c r="AJ38" s="632"/>
    </row>
    <row r="39" spans="1:36" x14ac:dyDescent="0.25">
      <c r="A39" s="611" t="s">
        <v>758</v>
      </c>
      <c r="B39" s="612">
        <v>2005</v>
      </c>
      <c r="C39" s="633"/>
      <c r="D39" s="614"/>
      <c r="E39" s="614"/>
      <c r="F39" s="615"/>
      <c r="G39" s="615"/>
      <c r="H39" s="615"/>
      <c r="I39" s="615"/>
      <c r="J39" s="615"/>
      <c r="K39" s="616"/>
      <c r="L39" s="617"/>
      <c r="M39" s="617"/>
      <c r="N39" s="617"/>
      <c r="O39" s="617"/>
      <c r="P39" s="617"/>
      <c r="Q39" s="617"/>
      <c r="R39" s="617"/>
      <c r="S39" s="617"/>
      <c r="T39" s="617"/>
      <c r="U39" s="617"/>
      <c r="V39" s="617"/>
      <c r="W39" s="617"/>
      <c r="X39" s="617"/>
      <c r="Y39" s="617"/>
      <c r="Z39" s="617"/>
      <c r="AA39" s="617"/>
      <c r="AB39" s="617"/>
      <c r="AC39" s="617"/>
      <c r="AD39" s="617"/>
      <c r="AE39" s="618"/>
      <c r="AF39" s="618"/>
      <c r="AG39" s="618"/>
    </row>
    <row r="40" spans="1:36" x14ac:dyDescent="0.25">
      <c r="A40" s="611" t="s">
        <v>138</v>
      </c>
      <c r="B40" s="619" t="s">
        <v>740</v>
      </c>
      <c r="C40" s="633"/>
      <c r="D40" s="614"/>
      <c r="E40" s="614"/>
      <c r="F40" s="620"/>
      <c r="G40" s="616"/>
      <c r="H40" s="616"/>
      <c r="I40" s="616"/>
      <c r="J40" s="616"/>
      <c r="K40" s="616"/>
      <c r="L40" s="617"/>
      <c r="M40" s="617"/>
      <c r="N40" s="617"/>
      <c r="O40" s="617"/>
      <c r="P40" s="617"/>
      <c r="Q40" s="617"/>
      <c r="R40" s="617"/>
      <c r="S40" s="617"/>
      <c r="T40" s="617"/>
      <c r="U40" s="617"/>
      <c r="V40" s="617"/>
      <c r="W40" s="617"/>
      <c r="X40" s="617"/>
      <c r="Y40" s="617"/>
      <c r="Z40" s="617"/>
      <c r="AA40" s="617"/>
      <c r="AB40" s="617"/>
      <c r="AC40" s="617"/>
      <c r="AD40" s="617"/>
      <c r="AE40" s="618"/>
      <c r="AF40" s="618"/>
      <c r="AG40" s="618"/>
    </row>
    <row r="41" spans="1:36" x14ac:dyDescent="0.25">
      <c r="A41" s="611" t="s">
        <v>138</v>
      </c>
      <c r="B41" s="619" t="s">
        <v>741</v>
      </c>
      <c r="C41" s="633"/>
      <c r="D41" s="614"/>
      <c r="E41" s="614"/>
      <c r="F41" s="621"/>
      <c r="G41" s="620"/>
      <c r="H41" s="616"/>
      <c r="I41" s="616"/>
      <c r="J41" s="616"/>
      <c r="K41" s="616"/>
      <c r="L41" s="617"/>
      <c r="M41" s="617"/>
      <c r="N41" s="617"/>
      <c r="O41" s="617"/>
      <c r="P41" s="617"/>
      <c r="Q41" s="617"/>
      <c r="R41" s="617"/>
      <c r="S41" s="617"/>
      <c r="T41" s="617"/>
      <c r="U41" s="617"/>
      <c r="V41" s="617"/>
      <c r="W41" s="617"/>
      <c r="X41" s="617"/>
      <c r="Y41" s="617"/>
      <c r="Z41" s="617"/>
      <c r="AA41" s="617"/>
      <c r="AB41" s="617"/>
      <c r="AC41" s="617"/>
      <c r="AD41" s="617"/>
      <c r="AE41" s="618"/>
      <c r="AF41" s="618"/>
      <c r="AG41" s="618"/>
    </row>
    <row r="42" spans="1:36" x14ac:dyDescent="0.25">
      <c r="A42" s="611" t="s">
        <v>138</v>
      </c>
      <c r="B42" s="619" t="s">
        <v>742</v>
      </c>
      <c r="C42" s="633"/>
      <c r="D42" s="614"/>
      <c r="E42" s="614"/>
      <c r="F42" s="621"/>
      <c r="G42" s="621"/>
      <c r="H42" s="620"/>
      <c r="I42" s="616"/>
      <c r="J42" s="616"/>
      <c r="K42" s="616"/>
      <c r="L42" s="617"/>
      <c r="M42" s="617"/>
      <c r="N42" s="617"/>
      <c r="O42" s="617"/>
      <c r="P42" s="617"/>
      <c r="Q42" s="617"/>
      <c r="R42" s="617"/>
      <c r="S42" s="617"/>
      <c r="T42" s="617"/>
      <c r="U42" s="617"/>
      <c r="V42" s="617"/>
      <c r="W42" s="617"/>
      <c r="X42" s="617"/>
      <c r="Y42" s="617"/>
      <c r="Z42" s="617"/>
      <c r="AA42" s="617"/>
      <c r="AB42" s="617"/>
      <c r="AC42" s="617"/>
      <c r="AD42" s="617"/>
      <c r="AE42" s="618"/>
      <c r="AF42" s="618"/>
      <c r="AG42" s="618"/>
    </row>
    <row r="43" spans="1:36" x14ac:dyDescent="0.25">
      <c r="A43" s="611" t="s">
        <v>138</v>
      </c>
      <c r="B43" s="619" t="s">
        <v>743</v>
      </c>
      <c r="C43" s="633"/>
      <c r="D43" s="614"/>
      <c r="E43" s="614"/>
      <c r="F43" s="621"/>
      <c r="G43" s="621"/>
      <c r="H43" s="621"/>
      <c r="I43" s="620"/>
      <c r="J43" s="616"/>
      <c r="K43" s="616"/>
      <c r="L43" s="617"/>
      <c r="M43" s="617"/>
      <c r="N43" s="617"/>
      <c r="O43" s="617"/>
      <c r="P43" s="617"/>
      <c r="Q43" s="617"/>
      <c r="R43" s="617"/>
      <c r="S43" s="617"/>
      <c r="T43" s="617"/>
      <c r="U43" s="617"/>
      <c r="V43" s="617"/>
      <c r="W43" s="617"/>
      <c r="X43" s="617"/>
      <c r="Y43" s="617"/>
      <c r="Z43" s="617"/>
      <c r="AA43" s="617"/>
      <c r="AB43" s="617"/>
      <c r="AC43" s="617"/>
      <c r="AD43" s="617"/>
      <c r="AE43" s="618"/>
      <c r="AF43" s="618"/>
      <c r="AG43" s="618"/>
    </row>
    <row r="44" spans="1:36" x14ac:dyDescent="0.25">
      <c r="A44" s="611" t="s">
        <v>138</v>
      </c>
      <c r="B44" s="619" t="s">
        <v>744</v>
      </c>
      <c r="C44" s="633"/>
      <c r="D44" s="614"/>
      <c r="E44" s="614"/>
      <c r="F44" s="621"/>
      <c r="G44" s="621"/>
      <c r="H44" s="621"/>
      <c r="I44" s="621"/>
      <c r="J44" s="620"/>
      <c r="K44" s="616"/>
      <c r="L44" s="617"/>
      <c r="M44" s="617"/>
      <c r="N44" s="617"/>
      <c r="O44" s="617"/>
      <c r="P44" s="617"/>
      <c r="Q44" s="617"/>
      <c r="R44" s="617"/>
      <c r="S44" s="617"/>
      <c r="T44" s="617"/>
      <c r="U44" s="617"/>
      <c r="V44" s="617"/>
      <c r="W44" s="617"/>
      <c r="X44" s="617"/>
      <c r="Y44" s="617"/>
      <c r="Z44" s="617"/>
      <c r="AA44" s="617"/>
      <c r="AB44" s="617"/>
      <c r="AC44" s="617"/>
      <c r="AD44" s="617"/>
      <c r="AE44" s="618"/>
      <c r="AF44" s="618"/>
      <c r="AG44" s="618"/>
    </row>
    <row r="45" spans="1:36" x14ac:dyDescent="0.25">
      <c r="A45" s="611" t="s">
        <v>138</v>
      </c>
      <c r="B45" s="612" t="s">
        <v>745</v>
      </c>
      <c r="C45" s="633"/>
      <c r="D45" s="614"/>
      <c r="E45" s="634">
        <v>5.28E-2</v>
      </c>
      <c r="F45" s="621"/>
      <c r="G45" s="621"/>
      <c r="H45" s="621"/>
      <c r="I45" s="621"/>
      <c r="J45" s="621"/>
      <c r="K45" s="620"/>
      <c r="L45" s="617"/>
      <c r="M45" s="617"/>
      <c r="N45" s="617"/>
      <c r="O45" s="617"/>
      <c r="P45" s="617"/>
      <c r="Q45" s="617"/>
      <c r="R45" s="617"/>
      <c r="S45" s="617"/>
      <c r="T45" s="617"/>
      <c r="U45" s="617"/>
      <c r="V45" s="617"/>
      <c r="W45" s="617"/>
      <c r="X45" s="617"/>
      <c r="Y45" s="617"/>
      <c r="Z45" s="617"/>
      <c r="AA45" s="617"/>
      <c r="AB45" s="617"/>
      <c r="AC45" s="617"/>
      <c r="AD45" s="617"/>
      <c r="AE45" s="618"/>
      <c r="AF45" s="618"/>
      <c r="AG45" s="618"/>
    </row>
    <row r="46" spans="1:36" x14ac:dyDescent="0.25">
      <c r="A46" s="611" t="s">
        <v>138</v>
      </c>
      <c r="B46" s="612" t="s">
        <v>746</v>
      </c>
      <c r="C46" s="633"/>
      <c r="D46" s="614"/>
      <c r="E46" s="634">
        <v>5.28E-2</v>
      </c>
      <c r="F46" s="621"/>
      <c r="G46" s="621"/>
      <c r="H46" s="621"/>
      <c r="I46" s="621"/>
      <c r="J46" s="621"/>
      <c r="K46" s="621"/>
      <c r="L46" s="622"/>
      <c r="M46" s="617"/>
      <c r="N46" s="617"/>
      <c r="O46" s="617"/>
      <c r="P46" s="617"/>
      <c r="Q46" s="617"/>
      <c r="R46" s="617"/>
      <c r="S46" s="617"/>
      <c r="T46" s="617"/>
      <c r="U46" s="617"/>
      <c r="V46" s="617"/>
      <c r="W46" s="617"/>
      <c r="X46" s="617"/>
      <c r="Y46" s="617"/>
      <c r="Z46" s="617"/>
      <c r="AA46" s="617"/>
      <c r="AB46" s="617"/>
      <c r="AC46" s="617"/>
      <c r="AD46" s="617"/>
      <c r="AE46" s="618"/>
      <c r="AF46" s="618"/>
      <c r="AG46" s="618"/>
    </row>
    <row r="47" spans="1:36" x14ac:dyDescent="0.25">
      <c r="A47" s="611" t="s">
        <v>138</v>
      </c>
      <c r="B47" s="612" t="s">
        <v>747</v>
      </c>
      <c r="C47" s="633"/>
      <c r="D47" s="614"/>
      <c r="E47" s="634">
        <v>5.28E-2</v>
      </c>
      <c r="F47" s="621"/>
      <c r="G47" s="621"/>
      <c r="H47" s="621"/>
      <c r="I47" s="621"/>
      <c r="J47" s="621"/>
      <c r="K47" s="621"/>
      <c r="L47" s="623"/>
      <c r="M47" s="622"/>
      <c r="N47" s="617"/>
      <c r="O47" s="617"/>
      <c r="P47" s="617"/>
      <c r="Q47" s="617"/>
      <c r="R47" s="617"/>
      <c r="S47" s="617"/>
      <c r="T47" s="617"/>
      <c r="U47" s="617"/>
      <c r="V47" s="617"/>
      <c r="W47" s="617"/>
      <c r="X47" s="617"/>
      <c r="Y47" s="617"/>
      <c r="Z47" s="617"/>
      <c r="AA47" s="617"/>
      <c r="AB47" s="617"/>
      <c r="AC47" s="617"/>
      <c r="AD47" s="617"/>
      <c r="AE47" s="618"/>
      <c r="AF47" s="618"/>
      <c r="AG47" s="618"/>
    </row>
    <row r="48" spans="1:36" x14ac:dyDescent="0.25">
      <c r="A48" s="611" t="s">
        <v>138</v>
      </c>
      <c r="B48" s="612" t="s">
        <v>759</v>
      </c>
      <c r="C48" s="633"/>
      <c r="D48" s="614"/>
      <c r="E48" s="634">
        <v>5.28E-2</v>
      </c>
      <c r="F48" s="621"/>
      <c r="G48" s="621"/>
      <c r="H48" s="621"/>
      <c r="I48" s="621"/>
      <c r="J48" s="621"/>
      <c r="K48" s="621"/>
      <c r="L48" s="623"/>
      <c r="M48" s="623"/>
      <c r="N48" s="635">
        <f>$C48*5.28%*302/365</f>
        <v>0</v>
      </c>
      <c r="O48" s="636">
        <f>$C48*5.28%</f>
        <v>0</v>
      </c>
      <c r="P48" s="636">
        <f t="shared" ref="P48:AD62" si="0">$C48*5.28%</f>
        <v>0</v>
      </c>
      <c r="Q48" s="636">
        <f t="shared" si="0"/>
        <v>0</v>
      </c>
      <c r="R48" s="636">
        <f t="shared" si="0"/>
        <v>0</v>
      </c>
      <c r="S48" s="636">
        <f t="shared" si="0"/>
        <v>0</v>
      </c>
      <c r="T48" s="636">
        <f t="shared" si="0"/>
        <v>0</v>
      </c>
      <c r="U48" s="636">
        <f t="shared" si="0"/>
        <v>0</v>
      </c>
      <c r="V48" s="636">
        <f t="shared" si="0"/>
        <v>0</v>
      </c>
      <c r="W48" s="636">
        <f t="shared" si="0"/>
        <v>0</v>
      </c>
      <c r="X48" s="636">
        <f t="shared" si="0"/>
        <v>0</v>
      </c>
      <c r="Y48" s="636">
        <f t="shared" si="0"/>
        <v>0</v>
      </c>
      <c r="Z48" s="636">
        <f t="shared" si="0"/>
        <v>0</v>
      </c>
      <c r="AA48" s="636">
        <f t="shared" si="0"/>
        <v>0</v>
      </c>
      <c r="AB48" s="636">
        <f t="shared" si="0"/>
        <v>0</v>
      </c>
      <c r="AC48" s="636">
        <f t="shared" si="0"/>
        <v>0</v>
      </c>
      <c r="AD48" s="636">
        <f t="shared" si="0"/>
        <v>0</v>
      </c>
      <c r="AE48" s="618"/>
      <c r="AF48" s="637">
        <f>IFERROR(SUM(N48:AD48)/C48,0)</f>
        <v>0</v>
      </c>
      <c r="AG48" s="638">
        <f>C48-SUM(P48:AD48)</f>
        <v>0</v>
      </c>
    </row>
    <row r="49" spans="1:33" x14ac:dyDescent="0.25">
      <c r="A49" s="611" t="s">
        <v>138</v>
      </c>
      <c r="B49" s="612" t="s">
        <v>748</v>
      </c>
      <c r="C49" s="633"/>
      <c r="D49" s="614"/>
      <c r="E49" s="634">
        <v>5.28E-2</v>
      </c>
      <c r="F49" s="621"/>
      <c r="G49" s="621"/>
      <c r="H49" s="621"/>
      <c r="I49" s="621"/>
      <c r="J49" s="621"/>
      <c r="K49" s="621"/>
      <c r="L49" s="623"/>
      <c r="M49" s="623"/>
      <c r="N49" s="639"/>
      <c r="O49" s="635"/>
      <c r="P49" s="636">
        <f>$C49*5.28%</f>
        <v>0</v>
      </c>
      <c r="Q49" s="636">
        <f t="shared" si="0"/>
        <v>0</v>
      </c>
      <c r="R49" s="636">
        <f t="shared" si="0"/>
        <v>0</v>
      </c>
      <c r="S49" s="636">
        <f t="shared" si="0"/>
        <v>0</v>
      </c>
      <c r="T49" s="636">
        <f t="shared" si="0"/>
        <v>0</v>
      </c>
      <c r="U49" s="636">
        <f t="shared" si="0"/>
        <v>0</v>
      </c>
      <c r="V49" s="636">
        <f t="shared" si="0"/>
        <v>0</v>
      </c>
      <c r="W49" s="636">
        <f t="shared" si="0"/>
        <v>0</v>
      </c>
      <c r="X49" s="636">
        <f t="shared" si="0"/>
        <v>0</v>
      </c>
      <c r="Y49" s="636">
        <f t="shared" si="0"/>
        <v>0</v>
      </c>
      <c r="Z49" s="636">
        <f t="shared" si="0"/>
        <v>0</v>
      </c>
      <c r="AA49" s="636">
        <f t="shared" si="0"/>
        <v>0</v>
      </c>
      <c r="AB49" s="636">
        <f t="shared" si="0"/>
        <v>0</v>
      </c>
      <c r="AC49" s="636">
        <f t="shared" si="0"/>
        <v>0</v>
      </c>
      <c r="AD49" s="636">
        <f t="shared" si="0"/>
        <v>0</v>
      </c>
      <c r="AE49" s="618"/>
      <c r="AF49" s="637">
        <f t="shared" ref="AF49:AF65" si="1">IFERROR(SUM(N49:AD49)/C49,0)</f>
        <v>0</v>
      </c>
      <c r="AG49" s="638">
        <f t="shared" ref="AG49:AG64" si="2">C49-SUM(P49:AD49)</f>
        <v>0</v>
      </c>
    </row>
    <row r="50" spans="1:33" x14ac:dyDescent="0.25">
      <c r="A50" s="611" t="s">
        <v>138</v>
      </c>
      <c r="B50" s="612" t="s">
        <v>749</v>
      </c>
      <c r="C50" s="633"/>
      <c r="D50" s="614"/>
      <c r="E50" s="634">
        <v>5.28E-2</v>
      </c>
      <c r="F50" s="621"/>
      <c r="G50" s="621"/>
      <c r="H50" s="621"/>
      <c r="I50" s="621"/>
      <c r="J50" s="621"/>
      <c r="K50" s="621"/>
      <c r="L50" s="623"/>
      <c r="M50" s="623"/>
      <c r="N50" s="639"/>
      <c r="O50" s="639"/>
      <c r="P50" s="635">
        <f>$C50*5.28%/2</f>
        <v>0</v>
      </c>
      <c r="Q50" s="636">
        <f t="shared" si="0"/>
        <v>0</v>
      </c>
      <c r="R50" s="636">
        <f t="shared" si="0"/>
        <v>0</v>
      </c>
      <c r="S50" s="636">
        <f t="shared" si="0"/>
        <v>0</v>
      </c>
      <c r="T50" s="636">
        <f t="shared" si="0"/>
        <v>0</v>
      </c>
      <c r="U50" s="636">
        <f t="shared" si="0"/>
        <v>0</v>
      </c>
      <c r="V50" s="636">
        <f t="shared" si="0"/>
        <v>0</v>
      </c>
      <c r="W50" s="636">
        <f t="shared" si="0"/>
        <v>0</v>
      </c>
      <c r="X50" s="636">
        <f t="shared" si="0"/>
        <v>0</v>
      </c>
      <c r="Y50" s="636">
        <f t="shared" si="0"/>
        <v>0</v>
      </c>
      <c r="Z50" s="636">
        <f t="shared" si="0"/>
        <v>0</v>
      </c>
      <c r="AA50" s="636">
        <f t="shared" si="0"/>
        <v>0</v>
      </c>
      <c r="AB50" s="636">
        <f t="shared" si="0"/>
        <v>0</v>
      </c>
      <c r="AC50" s="636">
        <f t="shared" si="0"/>
        <v>0</v>
      </c>
      <c r="AD50" s="636">
        <f t="shared" si="0"/>
        <v>0</v>
      </c>
      <c r="AE50" s="618"/>
      <c r="AF50" s="637">
        <f t="shared" si="1"/>
        <v>0</v>
      </c>
      <c r="AG50" s="638">
        <f t="shared" si="2"/>
        <v>0</v>
      </c>
    </row>
    <row r="51" spans="1:33" x14ac:dyDescent="0.25">
      <c r="A51" s="611" t="s">
        <v>138</v>
      </c>
      <c r="B51" s="612" t="s">
        <v>760</v>
      </c>
      <c r="C51" s="640"/>
      <c r="D51" s="614"/>
      <c r="E51" s="634">
        <v>5.28E-2</v>
      </c>
      <c r="F51" s="621"/>
      <c r="G51" s="621"/>
      <c r="H51" s="621"/>
      <c r="I51" s="621"/>
      <c r="J51" s="621"/>
      <c r="K51" s="621"/>
      <c r="L51" s="623"/>
      <c r="M51" s="623"/>
      <c r="N51" s="639"/>
      <c r="O51" s="639"/>
      <c r="P51" s="639"/>
      <c r="Q51" s="635">
        <f>$C51*5.28%/2</f>
        <v>0</v>
      </c>
      <c r="R51" s="636">
        <f t="shared" si="0"/>
        <v>0</v>
      </c>
      <c r="S51" s="636">
        <f t="shared" si="0"/>
        <v>0</v>
      </c>
      <c r="T51" s="636">
        <f t="shared" si="0"/>
        <v>0</v>
      </c>
      <c r="U51" s="636">
        <f t="shared" si="0"/>
        <v>0</v>
      </c>
      <c r="V51" s="636">
        <f t="shared" si="0"/>
        <v>0</v>
      </c>
      <c r="W51" s="636">
        <f t="shared" si="0"/>
        <v>0</v>
      </c>
      <c r="X51" s="636">
        <f t="shared" si="0"/>
        <v>0</v>
      </c>
      <c r="Y51" s="636">
        <f t="shared" si="0"/>
        <v>0</v>
      </c>
      <c r="Z51" s="636">
        <f t="shared" si="0"/>
        <v>0</v>
      </c>
      <c r="AA51" s="636">
        <f t="shared" si="0"/>
        <v>0</v>
      </c>
      <c r="AB51" s="636">
        <f t="shared" si="0"/>
        <v>0</v>
      </c>
      <c r="AC51" s="636">
        <f t="shared" si="0"/>
        <v>0</v>
      </c>
      <c r="AD51" s="636">
        <f t="shared" si="0"/>
        <v>0</v>
      </c>
      <c r="AE51" s="618"/>
      <c r="AF51" s="637">
        <f t="shared" si="1"/>
        <v>0</v>
      </c>
      <c r="AG51" s="638">
        <f t="shared" si="2"/>
        <v>0</v>
      </c>
    </row>
    <row r="52" spans="1:33" x14ac:dyDescent="0.25">
      <c r="A52" s="611" t="s">
        <v>138</v>
      </c>
      <c r="B52" s="612" t="s">
        <v>751</v>
      </c>
      <c r="C52" s="640"/>
      <c r="D52" s="614"/>
      <c r="E52" s="634">
        <v>5.28E-2</v>
      </c>
      <c r="F52" s="621"/>
      <c r="G52" s="621"/>
      <c r="H52" s="621"/>
      <c r="I52" s="621"/>
      <c r="J52" s="621"/>
      <c r="K52" s="621"/>
      <c r="L52" s="623"/>
      <c r="M52" s="623"/>
      <c r="N52" s="639"/>
      <c r="O52" s="639"/>
      <c r="P52" s="639"/>
      <c r="Q52" s="639"/>
      <c r="R52" s="635">
        <f>$C52*5.28%/2</f>
        <v>0</v>
      </c>
      <c r="S52" s="636">
        <f t="shared" si="0"/>
        <v>0</v>
      </c>
      <c r="T52" s="636">
        <f t="shared" si="0"/>
        <v>0</v>
      </c>
      <c r="U52" s="636">
        <f t="shared" si="0"/>
        <v>0</v>
      </c>
      <c r="V52" s="636">
        <f t="shared" si="0"/>
        <v>0</v>
      </c>
      <c r="W52" s="636">
        <f t="shared" si="0"/>
        <v>0</v>
      </c>
      <c r="X52" s="636">
        <f t="shared" si="0"/>
        <v>0</v>
      </c>
      <c r="Y52" s="636">
        <f t="shared" si="0"/>
        <v>0</v>
      </c>
      <c r="Z52" s="636">
        <f t="shared" si="0"/>
        <v>0</v>
      </c>
      <c r="AA52" s="636">
        <f t="shared" si="0"/>
        <v>0</v>
      </c>
      <c r="AB52" s="636">
        <f t="shared" si="0"/>
        <v>0</v>
      </c>
      <c r="AC52" s="636">
        <f t="shared" si="0"/>
        <v>0</v>
      </c>
      <c r="AD52" s="636">
        <f t="shared" si="0"/>
        <v>0</v>
      </c>
      <c r="AE52" s="618"/>
      <c r="AF52" s="637">
        <f t="shared" si="1"/>
        <v>0</v>
      </c>
      <c r="AG52" s="638">
        <f t="shared" si="2"/>
        <v>0</v>
      </c>
    </row>
    <row r="53" spans="1:33" x14ac:dyDescent="0.25">
      <c r="A53" s="611" t="s">
        <v>138</v>
      </c>
      <c r="B53" s="612" t="s">
        <v>752</v>
      </c>
      <c r="C53" s="640"/>
      <c r="D53" s="614"/>
      <c r="E53" s="634">
        <v>5.28E-2</v>
      </c>
      <c r="F53" s="621"/>
      <c r="G53" s="621"/>
      <c r="H53" s="621"/>
      <c r="I53" s="621"/>
      <c r="J53" s="621"/>
      <c r="K53" s="621"/>
      <c r="L53" s="623"/>
      <c r="M53" s="623"/>
      <c r="N53" s="639"/>
      <c r="O53" s="639"/>
      <c r="P53" s="639"/>
      <c r="Q53" s="639"/>
      <c r="R53" s="639"/>
      <c r="S53" s="635">
        <f>$C53*5.28%/2</f>
        <v>0</v>
      </c>
      <c r="T53" s="636">
        <f t="shared" si="0"/>
        <v>0</v>
      </c>
      <c r="U53" s="636">
        <f t="shared" si="0"/>
        <v>0</v>
      </c>
      <c r="V53" s="636">
        <f t="shared" si="0"/>
        <v>0</v>
      </c>
      <c r="W53" s="636">
        <f t="shared" si="0"/>
        <v>0</v>
      </c>
      <c r="X53" s="636">
        <f t="shared" si="0"/>
        <v>0</v>
      </c>
      <c r="Y53" s="636">
        <f t="shared" si="0"/>
        <v>0</v>
      </c>
      <c r="Z53" s="636">
        <f t="shared" si="0"/>
        <v>0</v>
      </c>
      <c r="AA53" s="636">
        <f t="shared" si="0"/>
        <v>0</v>
      </c>
      <c r="AB53" s="636">
        <f t="shared" si="0"/>
        <v>0</v>
      </c>
      <c r="AC53" s="636">
        <f t="shared" si="0"/>
        <v>0</v>
      </c>
      <c r="AD53" s="636">
        <f t="shared" si="0"/>
        <v>0</v>
      </c>
      <c r="AE53" s="618"/>
      <c r="AF53" s="637">
        <f t="shared" si="1"/>
        <v>0</v>
      </c>
      <c r="AG53" s="638">
        <f t="shared" si="2"/>
        <v>0</v>
      </c>
    </row>
    <row r="54" spans="1:33" x14ac:dyDescent="0.25">
      <c r="A54" s="611" t="s">
        <v>138</v>
      </c>
      <c r="B54" s="612" t="s">
        <v>753</v>
      </c>
      <c r="C54" s="640"/>
      <c r="D54" s="614"/>
      <c r="E54" s="634">
        <v>5.28E-2</v>
      </c>
      <c r="F54" s="621"/>
      <c r="G54" s="621"/>
      <c r="H54" s="621"/>
      <c r="I54" s="621"/>
      <c r="J54" s="621"/>
      <c r="K54" s="621"/>
      <c r="L54" s="623"/>
      <c r="M54" s="623"/>
      <c r="N54" s="639"/>
      <c r="O54" s="639"/>
      <c r="P54" s="639"/>
      <c r="Q54" s="639"/>
      <c r="R54" s="639"/>
      <c r="S54" s="639"/>
      <c r="T54" s="635">
        <f>$C54*5.28%/2</f>
        <v>0</v>
      </c>
      <c r="U54" s="636">
        <f t="shared" si="0"/>
        <v>0</v>
      </c>
      <c r="V54" s="636">
        <f t="shared" si="0"/>
        <v>0</v>
      </c>
      <c r="W54" s="636">
        <f t="shared" si="0"/>
        <v>0</v>
      </c>
      <c r="X54" s="636">
        <f t="shared" si="0"/>
        <v>0</v>
      </c>
      <c r="Y54" s="636">
        <f t="shared" si="0"/>
        <v>0</v>
      </c>
      <c r="Z54" s="636">
        <f t="shared" si="0"/>
        <v>0</v>
      </c>
      <c r="AA54" s="636">
        <f t="shared" si="0"/>
        <v>0</v>
      </c>
      <c r="AB54" s="636">
        <f t="shared" si="0"/>
        <v>0</v>
      </c>
      <c r="AC54" s="636">
        <f t="shared" si="0"/>
        <v>0</v>
      </c>
      <c r="AD54" s="636">
        <f t="shared" si="0"/>
        <v>0</v>
      </c>
      <c r="AE54" s="618"/>
      <c r="AF54" s="637">
        <f t="shared" si="1"/>
        <v>0</v>
      </c>
      <c r="AG54" s="638">
        <f t="shared" si="2"/>
        <v>0</v>
      </c>
    </row>
    <row r="55" spans="1:33" x14ac:dyDescent="0.25">
      <c r="A55" s="611" t="s">
        <v>138</v>
      </c>
      <c r="B55" s="612" t="s">
        <v>754</v>
      </c>
      <c r="C55" s="640"/>
      <c r="D55" s="614"/>
      <c r="E55" s="634">
        <v>5.28E-2</v>
      </c>
      <c r="F55" s="621"/>
      <c r="G55" s="621"/>
      <c r="H55" s="621"/>
      <c r="I55" s="621"/>
      <c r="J55" s="621"/>
      <c r="K55" s="621"/>
      <c r="L55" s="623"/>
      <c r="M55" s="623"/>
      <c r="N55" s="639"/>
      <c r="O55" s="639"/>
      <c r="P55" s="639"/>
      <c r="Q55" s="639"/>
      <c r="R55" s="639"/>
      <c r="S55" s="639"/>
      <c r="T55" s="639"/>
      <c r="U55" s="635">
        <f>$C55*5.28%/2</f>
        <v>0</v>
      </c>
      <c r="V55" s="636">
        <f t="shared" si="0"/>
        <v>0</v>
      </c>
      <c r="W55" s="636">
        <f t="shared" si="0"/>
        <v>0</v>
      </c>
      <c r="X55" s="636">
        <f t="shared" si="0"/>
        <v>0</v>
      </c>
      <c r="Y55" s="636">
        <f t="shared" si="0"/>
        <v>0</v>
      </c>
      <c r="Z55" s="636">
        <f t="shared" si="0"/>
        <v>0</v>
      </c>
      <c r="AA55" s="636">
        <f t="shared" si="0"/>
        <v>0</v>
      </c>
      <c r="AB55" s="636">
        <f t="shared" si="0"/>
        <v>0</v>
      </c>
      <c r="AC55" s="636">
        <f t="shared" si="0"/>
        <v>0</v>
      </c>
      <c r="AD55" s="636">
        <f t="shared" si="0"/>
        <v>0</v>
      </c>
      <c r="AE55" s="618"/>
      <c r="AF55" s="637">
        <f t="shared" si="1"/>
        <v>0</v>
      </c>
      <c r="AG55" s="638">
        <f t="shared" si="2"/>
        <v>0</v>
      </c>
    </row>
    <row r="56" spans="1:33" x14ac:dyDescent="0.25">
      <c r="A56" s="611" t="s">
        <v>138</v>
      </c>
      <c r="B56" s="612" t="s">
        <v>755</v>
      </c>
      <c r="C56" s="640"/>
      <c r="D56" s="614"/>
      <c r="E56" s="634">
        <v>5.28E-2</v>
      </c>
      <c r="F56" s="621"/>
      <c r="G56" s="621"/>
      <c r="H56" s="621"/>
      <c r="I56" s="621"/>
      <c r="J56" s="621"/>
      <c r="K56" s="621"/>
      <c r="L56" s="623"/>
      <c r="M56" s="623"/>
      <c r="N56" s="639"/>
      <c r="O56" s="639"/>
      <c r="P56" s="639"/>
      <c r="Q56" s="639"/>
      <c r="R56" s="639"/>
      <c r="S56" s="639"/>
      <c r="T56" s="639"/>
      <c r="U56" s="639"/>
      <c r="V56" s="635">
        <f>$C56*5.28%/2</f>
        <v>0</v>
      </c>
      <c r="W56" s="636">
        <f t="shared" si="0"/>
        <v>0</v>
      </c>
      <c r="X56" s="636">
        <f t="shared" si="0"/>
        <v>0</v>
      </c>
      <c r="Y56" s="636">
        <f t="shared" si="0"/>
        <v>0</v>
      </c>
      <c r="Z56" s="636">
        <f t="shared" si="0"/>
        <v>0</v>
      </c>
      <c r="AA56" s="636">
        <f t="shared" si="0"/>
        <v>0</v>
      </c>
      <c r="AB56" s="636">
        <f t="shared" si="0"/>
        <v>0</v>
      </c>
      <c r="AC56" s="636">
        <f t="shared" si="0"/>
        <v>0</v>
      </c>
      <c r="AD56" s="636">
        <f t="shared" si="0"/>
        <v>0</v>
      </c>
      <c r="AE56" s="618"/>
      <c r="AF56" s="637">
        <f t="shared" si="1"/>
        <v>0</v>
      </c>
      <c r="AG56" s="638">
        <f t="shared" si="2"/>
        <v>0</v>
      </c>
    </row>
    <row r="57" spans="1:33" x14ac:dyDescent="0.25">
      <c r="A57" s="611" t="s">
        <v>138</v>
      </c>
      <c r="B57" s="612" t="s">
        <v>756</v>
      </c>
      <c r="C57" s="640"/>
      <c r="D57" s="614"/>
      <c r="E57" s="634">
        <v>5.28E-2</v>
      </c>
      <c r="F57" s="621"/>
      <c r="G57" s="621"/>
      <c r="H57" s="621"/>
      <c r="I57" s="621"/>
      <c r="J57" s="621"/>
      <c r="K57" s="621"/>
      <c r="L57" s="623"/>
      <c r="M57" s="623"/>
      <c r="N57" s="639"/>
      <c r="O57" s="639"/>
      <c r="P57" s="639"/>
      <c r="Q57" s="639"/>
      <c r="R57" s="639"/>
      <c r="S57" s="639"/>
      <c r="T57" s="639"/>
      <c r="U57" s="639"/>
      <c r="V57" s="639"/>
      <c r="W57" s="635">
        <f>$C57*5.28%/2</f>
        <v>0</v>
      </c>
      <c r="X57" s="636">
        <f t="shared" si="0"/>
        <v>0</v>
      </c>
      <c r="Y57" s="636">
        <f t="shared" si="0"/>
        <v>0</v>
      </c>
      <c r="Z57" s="636">
        <f t="shared" si="0"/>
        <v>0</v>
      </c>
      <c r="AA57" s="636">
        <f t="shared" si="0"/>
        <v>0</v>
      </c>
      <c r="AB57" s="636">
        <f t="shared" si="0"/>
        <v>0</v>
      </c>
      <c r="AC57" s="636">
        <f t="shared" si="0"/>
        <v>0</v>
      </c>
      <c r="AD57" s="636">
        <f t="shared" si="0"/>
        <v>0</v>
      </c>
      <c r="AE57" s="618"/>
      <c r="AF57" s="637">
        <f t="shared" si="1"/>
        <v>0</v>
      </c>
      <c r="AG57" s="638">
        <f t="shared" si="2"/>
        <v>0</v>
      </c>
    </row>
    <row r="58" spans="1:33" x14ac:dyDescent="0.25">
      <c r="A58" s="611" t="s">
        <v>138</v>
      </c>
      <c r="B58" s="612" t="s">
        <v>757</v>
      </c>
      <c r="C58" s="640"/>
      <c r="D58" s="614"/>
      <c r="E58" s="634">
        <v>5.28E-2</v>
      </c>
      <c r="F58" s="621"/>
      <c r="G58" s="621"/>
      <c r="H58" s="621"/>
      <c r="I58" s="621"/>
      <c r="J58" s="621"/>
      <c r="K58" s="621"/>
      <c r="L58" s="623"/>
      <c r="M58" s="623"/>
      <c r="N58" s="639"/>
      <c r="O58" s="639"/>
      <c r="P58" s="639"/>
      <c r="Q58" s="639"/>
      <c r="R58" s="639"/>
      <c r="S58" s="639"/>
      <c r="T58" s="639"/>
      <c r="U58" s="639"/>
      <c r="V58" s="639"/>
      <c r="W58" s="639"/>
      <c r="X58" s="635">
        <f>$C58*5.28%/2</f>
        <v>0</v>
      </c>
      <c r="Y58" s="636">
        <f t="shared" si="0"/>
        <v>0</v>
      </c>
      <c r="Z58" s="636">
        <f t="shared" si="0"/>
        <v>0</v>
      </c>
      <c r="AA58" s="636">
        <f t="shared" si="0"/>
        <v>0</v>
      </c>
      <c r="AB58" s="636">
        <f t="shared" si="0"/>
        <v>0</v>
      </c>
      <c r="AC58" s="636">
        <f t="shared" si="0"/>
        <v>0</v>
      </c>
      <c r="AD58" s="636">
        <f t="shared" si="0"/>
        <v>0</v>
      </c>
      <c r="AE58" s="618"/>
      <c r="AF58" s="637">
        <f t="shared" si="1"/>
        <v>0</v>
      </c>
      <c r="AG58" s="638">
        <f t="shared" si="2"/>
        <v>0</v>
      </c>
    </row>
    <row r="59" spans="1:33" x14ac:dyDescent="0.25">
      <c r="A59" s="611" t="s">
        <v>138</v>
      </c>
      <c r="B59" s="612" t="s">
        <v>761</v>
      </c>
      <c r="C59" s="640"/>
      <c r="D59" s="614"/>
      <c r="E59" s="634">
        <v>5.28E-2</v>
      </c>
      <c r="F59" s="621"/>
      <c r="G59" s="621"/>
      <c r="H59" s="621"/>
      <c r="I59" s="621"/>
      <c r="J59" s="621"/>
      <c r="K59" s="621"/>
      <c r="L59" s="623"/>
      <c r="M59" s="623"/>
      <c r="N59" s="639"/>
      <c r="O59" s="639"/>
      <c r="P59" s="639"/>
      <c r="Q59" s="639"/>
      <c r="R59" s="639"/>
      <c r="S59" s="639"/>
      <c r="T59" s="639"/>
      <c r="U59" s="639"/>
      <c r="V59" s="639"/>
      <c r="W59" s="639"/>
      <c r="X59" s="639"/>
      <c r="Y59" s="635">
        <f>$C59*5.28%/2</f>
        <v>0</v>
      </c>
      <c r="Z59" s="636">
        <f t="shared" si="0"/>
        <v>0</v>
      </c>
      <c r="AA59" s="636">
        <f t="shared" si="0"/>
        <v>0</v>
      </c>
      <c r="AB59" s="636">
        <f t="shared" si="0"/>
        <v>0</v>
      </c>
      <c r="AC59" s="636">
        <f t="shared" si="0"/>
        <v>0</v>
      </c>
      <c r="AD59" s="636">
        <f t="shared" si="0"/>
        <v>0</v>
      </c>
      <c r="AE59" s="618"/>
      <c r="AF59" s="637">
        <f t="shared" si="1"/>
        <v>0</v>
      </c>
      <c r="AG59" s="638">
        <f t="shared" si="2"/>
        <v>0</v>
      </c>
    </row>
    <row r="60" spans="1:33" x14ac:dyDescent="0.25">
      <c r="A60" s="611" t="s">
        <v>138</v>
      </c>
      <c r="B60" s="612" t="s">
        <v>762</v>
      </c>
      <c r="C60" s="640"/>
      <c r="D60" s="614"/>
      <c r="E60" s="634">
        <v>5.28E-2</v>
      </c>
      <c r="F60" s="621"/>
      <c r="G60" s="621"/>
      <c r="H60" s="621"/>
      <c r="I60" s="621"/>
      <c r="J60" s="621"/>
      <c r="K60" s="621"/>
      <c r="L60" s="623"/>
      <c r="M60" s="623"/>
      <c r="N60" s="623"/>
      <c r="O60" s="623"/>
      <c r="P60" s="623"/>
      <c r="Q60" s="623"/>
      <c r="R60" s="623"/>
      <c r="S60" s="623"/>
      <c r="T60" s="623"/>
      <c r="U60" s="623"/>
      <c r="V60" s="623"/>
      <c r="W60" s="623"/>
      <c r="X60" s="623"/>
      <c r="Y60" s="623"/>
      <c r="Z60" s="635">
        <f>$C60*5.28%/2</f>
        <v>0</v>
      </c>
      <c r="AA60" s="636">
        <f t="shared" si="0"/>
        <v>0</v>
      </c>
      <c r="AB60" s="636">
        <f t="shared" si="0"/>
        <v>0</v>
      </c>
      <c r="AC60" s="636">
        <f t="shared" si="0"/>
        <v>0</v>
      </c>
      <c r="AD60" s="636">
        <f t="shared" si="0"/>
        <v>0</v>
      </c>
      <c r="AE60" s="618"/>
      <c r="AF60" s="637">
        <f t="shared" si="1"/>
        <v>0</v>
      </c>
      <c r="AG60" s="638">
        <f t="shared" si="2"/>
        <v>0</v>
      </c>
    </row>
    <row r="61" spans="1:33" x14ac:dyDescent="0.25">
      <c r="A61" s="611" t="s">
        <v>138</v>
      </c>
      <c r="B61" s="612" t="s">
        <v>763</v>
      </c>
      <c r="C61" s="640"/>
      <c r="D61" s="614"/>
      <c r="E61" s="634">
        <v>5.28E-2</v>
      </c>
      <c r="F61" s="621"/>
      <c r="G61" s="621"/>
      <c r="H61" s="621"/>
      <c r="I61" s="621"/>
      <c r="J61" s="621"/>
      <c r="K61" s="621"/>
      <c r="L61" s="623"/>
      <c r="M61" s="623"/>
      <c r="N61" s="623"/>
      <c r="O61" s="623"/>
      <c r="P61" s="623"/>
      <c r="Q61" s="623"/>
      <c r="R61" s="623"/>
      <c r="S61" s="623"/>
      <c r="T61" s="623"/>
      <c r="U61" s="623"/>
      <c r="V61" s="623"/>
      <c r="W61" s="623"/>
      <c r="X61" s="623"/>
      <c r="Y61" s="623"/>
      <c r="Z61" s="623"/>
      <c r="AA61" s="635">
        <f>$C61*5.28%/2</f>
        <v>0</v>
      </c>
      <c r="AB61" s="636">
        <f t="shared" si="0"/>
        <v>0</v>
      </c>
      <c r="AC61" s="636">
        <f t="shared" si="0"/>
        <v>0</v>
      </c>
      <c r="AD61" s="636">
        <f t="shared" si="0"/>
        <v>0</v>
      </c>
      <c r="AE61" s="618"/>
      <c r="AF61" s="637">
        <f t="shared" si="1"/>
        <v>0</v>
      </c>
      <c r="AG61" s="638">
        <f t="shared" si="2"/>
        <v>0</v>
      </c>
    </row>
    <row r="62" spans="1:33" x14ac:dyDescent="0.25">
      <c r="A62" s="611" t="s">
        <v>138</v>
      </c>
      <c r="B62" s="612" t="s">
        <v>764</v>
      </c>
      <c r="C62" s="640"/>
      <c r="D62" s="614"/>
      <c r="E62" s="634">
        <v>5.28E-2</v>
      </c>
      <c r="F62" s="621"/>
      <c r="G62" s="621"/>
      <c r="H62" s="621"/>
      <c r="I62" s="621"/>
      <c r="J62" s="621"/>
      <c r="K62" s="621"/>
      <c r="L62" s="623"/>
      <c r="M62" s="623"/>
      <c r="N62" s="623"/>
      <c r="O62" s="623"/>
      <c r="P62" s="623"/>
      <c r="Q62" s="623"/>
      <c r="R62" s="623"/>
      <c r="S62" s="623"/>
      <c r="T62" s="623"/>
      <c r="U62" s="623"/>
      <c r="V62" s="623"/>
      <c r="W62" s="623"/>
      <c r="X62" s="623"/>
      <c r="Y62" s="623"/>
      <c r="Z62" s="623"/>
      <c r="AA62" s="623"/>
      <c r="AB62" s="635">
        <f>$C62*5.28%/2</f>
        <v>0</v>
      </c>
      <c r="AC62" s="636">
        <f t="shared" si="0"/>
        <v>0</v>
      </c>
      <c r="AD62" s="636">
        <f t="shared" si="0"/>
        <v>0</v>
      </c>
      <c r="AE62" s="618"/>
      <c r="AF62" s="637">
        <f t="shared" si="1"/>
        <v>0</v>
      </c>
      <c r="AG62" s="638">
        <f t="shared" si="2"/>
        <v>0</v>
      </c>
    </row>
    <row r="63" spans="1:33" x14ac:dyDescent="0.25">
      <c r="A63" s="611" t="s">
        <v>138</v>
      </c>
      <c r="B63" s="612" t="s">
        <v>765</v>
      </c>
      <c r="C63" s="640"/>
      <c r="D63" s="614"/>
      <c r="E63" s="634">
        <v>5.28E-2</v>
      </c>
      <c r="F63" s="621"/>
      <c r="G63" s="621"/>
      <c r="H63" s="621"/>
      <c r="I63" s="621"/>
      <c r="J63" s="621"/>
      <c r="K63" s="621"/>
      <c r="L63" s="623"/>
      <c r="M63" s="623"/>
      <c r="N63" s="623"/>
      <c r="O63" s="623"/>
      <c r="P63" s="623"/>
      <c r="Q63" s="623"/>
      <c r="R63" s="623"/>
      <c r="S63" s="623"/>
      <c r="T63" s="623"/>
      <c r="U63" s="623"/>
      <c r="V63" s="623"/>
      <c r="W63" s="623"/>
      <c r="X63" s="623"/>
      <c r="Y63" s="623"/>
      <c r="Z63" s="623"/>
      <c r="AA63" s="623"/>
      <c r="AB63" s="623"/>
      <c r="AC63" s="635">
        <f>$C63*5.28%/2</f>
        <v>0</v>
      </c>
      <c r="AD63" s="617"/>
      <c r="AE63" s="618"/>
      <c r="AF63" s="637">
        <f t="shared" si="1"/>
        <v>0</v>
      </c>
      <c r="AG63" s="638">
        <f t="shared" si="2"/>
        <v>0</v>
      </c>
    </row>
    <row r="64" spans="1:33" x14ac:dyDescent="0.25">
      <c r="A64" s="611" t="s">
        <v>138</v>
      </c>
      <c r="B64" s="612" t="s">
        <v>766</v>
      </c>
      <c r="C64" s="640"/>
      <c r="D64" s="614"/>
      <c r="E64" s="634">
        <v>5.28E-2</v>
      </c>
      <c r="F64" s="621"/>
      <c r="G64" s="621"/>
      <c r="H64" s="621"/>
      <c r="I64" s="621"/>
      <c r="J64" s="621"/>
      <c r="K64" s="621"/>
      <c r="L64" s="623"/>
      <c r="M64" s="623"/>
      <c r="N64" s="623"/>
      <c r="O64" s="623"/>
      <c r="P64" s="623"/>
      <c r="Q64" s="623"/>
      <c r="R64" s="623"/>
      <c r="S64" s="623"/>
      <c r="T64" s="623"/>
      <c r="U64" s="623"/>
      <c r="V64" s="623"/>
      <c r="W64" s="623"/>
      <c r="X64" s="623"/>
      <c r="Y64" s="623"/>
      <c r="Z64" s="623"/>
      <c r="AA64" s="623"/>
      <c r="AB64" s="623"/>
      <c r="AC64" s="623"/>
      <c r="AD64" s="635">
        <f>$C64*5.28%/2</f>
        <v>0</v>
      </c>
      <c r="AE64" s="618"/>
      <c r="AF64" s="637">
        <f t="shared" si="1"/>
        <v>0</v>
      </c>
      <c r="AG64" s="638">
        <f t="shared" si="2"/>
        <v>0</v>
      </c>
    </row>
    <row r="65" spans="1:33" x14ac:dyDescent="0.25">
      <c r="A65" s="624"/>
      <c r="B65" s="625" t="s">
        <v>180</v>
      </c>
      <c r="C65" s="641">
        <f>SUM(C39:C64)</f>
        <v>0</v>
      </c>
      <c r="D65" s="626"/>
      <c r="E65" s="626"/>
      <c r="F65" s="641">
        <f t="shared" ref="F65:M65" si="3">SUM(F39:F64)</f>
        <v>0</v>
      </c>
      <c r="G65" s="641">
        <f t="shared" si="3"/>
        <v>0</v>
      </c>
      <c r="H65" s="641">
        <f t="shared" si="3"/>
        <v>0</v>
      </c>
      <c r="I65" s="641">
        <f t="shared" si="3"/>
        <v>0</v>
      </c>
      <c r="J65" s="641">
        <f t="shared" si="3"/>
        <v>0</v>
      </c>
      <c r="K65" s="641">
        <f t="shared" si="3"/>
        <v>0</v>
      </c>
      <c r="L65" s="641">
        <f t="shared" si="3"/>
        <v>0</v>
      </c>
      <c r="M65" s="641">
        <f t="shared" si="3"/>
        <v>0</v>
      </c>
      <c r="N65" s="641">
        <f>SUM(N39:N64)</f>
        <v>0</v>
      </c>
      <c r="O65" s="641">
        <f t="shared" ref="O65:AD65" si="4">SUM(O39:O64)</f>
        <v>0</v>
      </c>
      <c r="P65" s="641">
        <f t="shared" si="4"/>
        <v>0</v>
      </c>
      <c r="Q65" s="641">
        <f t="shared" si="4"/>
        <v>0</v>
      </c>
      <c r="R65" s="641">
        <f t="shared" si="4"/>
        <v>0</v>
      </c>
      <c r="S65" s="641">
        <f t="shared" si="4"/>
        <v>0</v>
      </c>
      <c r="T65" s="641">
        <f t="shared" si="4"/>
        <v>0</v>
      </c>
      <c r="U65" s="641">
        <f t="shared" si="4"/>
        <v>0</v>
      </c>
      <c r="V65" s="641">
        <f t="shared" si="4"/>
        <v>0</v>
      </c>
      <c r="W65" s="641">
        <f t="shared" si="4"/>
        <v>0</v>
      </c>
      <c r="X65" s="641">
        <f t="shared" si="4"/>
        <v>0</v>
      </c>
      <c r="Y65" s="641">
        <f t="shared" si="4"/>
        <v>0</v>
      </c>
      <c r="Z65" s="641">
        <f t="shared" si="4"/>
        <v>0</v>
      </c>
      <c r="AA65" s="641">
        <f t="shared" si="4"/>
        <v>0</v>
      </c>
      <c r="AB65" s="641">
        <f t="shared" si="4"/>
        <v>0</v>
      </c>
      <c r="AC65" s="641">
        <f t="shared" si="4"/>
        <v>0</v>
      </c>
      <c r="AD65" s="641">
        <f t="shared" si="4"/>
        <v>0</v>
      </c>
      <c r="AE65" s="626"/>
      <c r="AF65" s="642">
        <f t="shared" si="1"/>
        <v>0</v>
      </c>
      <c r="AG65" s="641">
        <f>SUM(AG48:AG64)</f>
        <v>0</v>
      </c>
    </row>
    <row r="67" spans="1:33" x14ac:dyDescent="0.25">
      <c r="B67" s="605" t="s">
        <v>272</v>
      </c>
      <c r="F67" s="606" t="s">
        <v>73</v>
      </c>
      <c r="G67" s="606"/>
      <c r="H67" s="606"/>
      <c r="I67" s="606"/>
      <c r="J67" s="606"/>
      <c r="K67" s="606"/>
    </row>
    <row r="68" spans="1:33" s="643" customFormat="1" ht="26.4" x14ac:dyDescent="0.3">
      <c r="A68" s="607"/>
      <c r="B68" s="630" t="s">
        <v>696</v>
      </c>
      <c r="C68" s="1201" t="s">
        <v>767</v>
      </c>
      <c r="D68" s="1201" t="s">
        <v>734</v>
      </c>
      <c r="E68" s="1201" t="s">
        <v>735</v>
      </c>
      <c r="F68" s="1203" t="s">
        <v>736</v>
      </c>
      <c r="G68" s="1204"/>
      <c r="H68" s="1204"/>
      <c r="I68" s="1204"/>
      <c r="J68" s="1204"/>
      <c r="K68" s="1204"/>
      <c r="L68" s="1204"/>
      <c r="M68" s="1204"/>
      <c r="N68" s="1204"/>
      <c r="O68" s="1204"/>
      <c r="P68" s="1204"/>
      <c r="Q68" s="1204"/>
      <c r="R68" s="1204"/>
      <c r="S68" s="1204"/>
      <c r="T68" s="1204"/>
      <c r="U68" s="1204"/>
      <c r="V68" s="1204"/>
      <c r="W68" s="1204"/>
      <c r="X68" s="1204"/>
      <c r="Y68" s="1204"/>
      <c r="Z68" s="1204"/>
      <c r="AA68" s="1204"/>
      <c r="AB68" s="1204"/>
      <c r="AC68" s="1204"/>
      <c r="AD68" s="1205"/>
      <c r="AE68" s="608" t="s">
        <v>737</v>
      </c>
      <c r="AF68" s="608" t="s">
        <v>738</v>
      </c>
      <c r="AG68" s="608" t="s">
        <v>739</v>
      </c>
    </row>
    <row r="69" spans="1:33" s="643" customFormat="1" x14ac:dyDescent="0.25">
      <c r="A69" s="607"/>
      <c r="B69" s="630"/>
      <c r="C69" s="1202"/>
      <c r="D69" s="1202"/>
      <c r="E69" s="1202"/>
      <c r="F69" s="609" t="s">
        <v>740</v>
      </c>
      <c r="G69" s="609" t="s">
        <v>741</v>
      </c>
      <c r="H69" s="609" t="s">
        <v>742</v>
      </c>
      <c r="I69" s="609" t="s">
        <v>743</v>
      </c>
      <c r="J69" s="609" t="s">
        <v>744</v>
      </c>
      <c r="K69" s="609" t="s">
        <v>745</v>
      </c>
      <c r="L69" s="610" t="s">
        <v>746</v>
      </c>
      <c r="M69" s="610" t="s">
        <v>747</v>
      </c>
      <c r="N69" s="610" t="s">
        <v>759</v>
      </c>
      <c r="O69" s="610" t="s">
        <v>748</v>
      </c>
      <c r="P69" s="610" t="s">
        <v>749</v>
      </c>
      <c r="Q69" s="610" t="s">
        <v>750</v>
      </c>
      <c r="R69" s="610" t="s">
        <v>751</v>
      </c>
      <c r="S69" s="610" t="s">
        <v>752</v>
      </c>
      <c r="T69" s="610" t="s">
        <v>753</v>
      </c>
      <c r="U69" s="610" t="s">
        <v>754</v>
      </c>
      <c r="V69" s="610" t="s">
        <v>755</v>
      </c>
      <c r="W69" s="610" t="s">
        <v>756</v>
      </c>
      <c r="X69" s="610" t="s">
        <v>757</v>
      </c>
      <c r="Y69" s="610" t="s">
        <v>77</v>
      </c>
      <c r="Z69" s="610" t="s">
        <v>87</v>
      </c>
      <c r="AA69" s="610" t="s">
        <v>88</v>
      </c>
      <c r="AB69" s="610" t="s">
        <v>89</v>
      </c>
      <c r="AC69" s="610" t="s">
        <v>90</v>
      </c>
      <c r="AD69" s="610" t="s">
        <v>91</v>
      </c>
      <c r="AE69" s="608"/>
      <c r="AF69" s="608"/>
      <c r="AG69" s="608"/>
    </row>
    <row r="70" spans="1:33" x14ac:dyDescent="0.25">
      <c r="A70" s="611" t="s">
        <v>758</v>
      </c>
      <c r="B70" s="612">
        <v>2005</v>
      </c>
      <c r="C70" s="613"/>
      <c r="D70" s="614"/>
      <c r="E70" s="614"/>
      <c r="F70" s="615"/>
      <c r="G70" s="615"/>
      <c r="H70" s="615"/>
      <c r="I70" s="615"/>
      <c r="J70" s="615"/>
      <c r="K70" s="616"/>
      <c r="L70" s="617"/>
      <c r="M70" s="617"/>
      <c r="N70" s="617"/>
      <c r="O70" s="617"/>
      <c r="P70" s="617"/>
      <c r="Q70" s="617"/>
      <c r="R70" s="617"/>
      <c r="S70" s="617"/>
      <c r="T70" s="617"/>
      <c r="U70" s="617"/>
      <c r="V70" s="617"/>
      <c r="W70" s="617"/>
      <c r="X70" s="617"/>
      <c r="Y70" s="617"/>
      <c r="Z70" s="617"/>
      <c r="AA70" s="617"/>
      <c r="AB70" s="617"/>
      <c r="AC70" s="617"/>
      <c r="AD70" s="617"/>
      <c r="AE70" s="618"/>
      <c r="AF70" s="618"/>
      <c r="AG70" s="618"/>
    </row>
    <row r="71" spans="1:33" x14ac:dyDescent="0.25">
      <c r="A71" s="611" t="s">
        <v>138</v>
      </c>
      <c r="B71" s="619" t="s">
        <v>740</v>
      </c>
      <c r="C71" s="613"/>
      <c r="D71" s="614"/>
      <c r="E71" s="614"/>
      <c r="F71" s="620"/>
      <c r="G71" s="616"/>
      <c r="H71" s="616"/>
      <c r="I71" s="616"/>
      <c r="J71" s="616"/>
      <c r="K71" s="616"/>
      <c r="L71" s="617"/>
      <c r="M71" s="617"/>
      <c r="N71" s="617"/>
      <c r="O71" s="617"/>
      <c r="P71" s="617"/>
      <c r="Q71" s="617"/>
      <c r="R71" s="617"/>
      <c r="S71" s="617"/>
      <c r="T71" s="617"/>
      <c r="U71" s="617"/>
      <c r="V71" s="617"/>
      <c r="W71" s="617"/>
      <c r="X71" s="617"/>
      <c r="Y71" s="617"/>
      <c r="Z71" s="617"/>
      <c r="AA71" s="617"/>
      <c r="AB71" s="617"/>
      <c r="AC71" s="617"/>
      <c r="AD71" s="617"/>
      <c r="AE71" s="618"/>
      <c r="AF71" s="618"/>
      <c r="AG71" s="618"/>
    </row>
    <row r="72" spans="1:33" x14ac:dyDescent="0.25">
      <c r="A72" s="611" t="s">
        <v>138</v>
      </c>
      <c r="B72" s="619" t="s">
        <v>741</v>
      </c>
      <c r="C72" s="613"/>
      <c r="D72" s="614"/>
      <c r="E72" s="614"/>
      <c r="F72" s="621"/>
      <c r="G72" s="620"/>
      <c r="H72" s="616"/>
      <c r="I72" s="616"/>
      <c r="J72" s="616"/>
      <c r="K72" s="616"/>
      <c r="L72" s="617"/>
      <c r="M72" s="617"/>
      <c r="N72" s="617"/>
      <c r="O72" s="617"/>
      <c r="P72" s="617"/>
      <c r="Q72" s="617"/>
      <c r="R72" s="617"/>
      <c r="S72" s="617"/>
      <c r="T72" s="617"/>
      <c r="U72" s="617"/>
      <c r="V72" s="617"/>
      <c r="W72" s="617"/>
      <c r="X72" s="617"/>
      <c r="Y72" s="617"/>
      <c r="Z72" s="617"/>
      <c r="AA72" s="617"/>
      <c r="AB72" s="617"/>
      <c r="AC72" s="617"/>
      <c r="AD72" s="617"/>
      <c r="AE72" s="618"/>
      <c r="AF72" s="618"/>
      <c r="AG72" s="618"/>
    </row>
    <row r="73" spans="1:33" x14ac:dyDescent="0.25">
      <c r="A73" s="611" t="s">
        <v>138</v>
      </c>
      <c r="B73" s="619" t="s">
        <v>742</v>
      </c>
      <c r="C73" s="613"/>
      <c r="D73" s="614"/>
      <c r="E73" s="614"/>
      <c r="F73" s="621"/>
      <c r="G73" s="621"/>
      <c r="H73" s="620"/>
      <c r="I73" s="616"/>
      <c r="J73" s="616"/>
      <c r="K73" s="616"/>
      <c r="L73" s="617"/>
      <c r="M73" s="617"/>
      <c r="N73" s="617"/>
      <c r="O73" s="617"/>
      <c r="P73" s="617"/>
      <c r="Q73" s="617"/>
      <c r="R73" s="617"/>
      <c r="S73" s="617"/>
      <c r="T73" s="617"/>
      <c r="U73" s="617"/>
      <c r="V73" s="617"/>
      <c r="W73" s="617"/>
      <c r="X73" s="617"/>
      <c r="Y73" s="617"/>
      <c r="Z73" s="617"/>
      <c r="AA73" s="617"/>
      <c r="AB73" s="617"/>
      <c r="AC73" s="617"/>
      <c r="AD73" s="617"/>
      <c r="AE73" s="618"/>
      <c r="AF73" s="618"/>
      <c r="AG73" s="618"/>
    </row>
    <row r="74" spans="1:33" x14ac:dyDescent="0.25">
      <c r="A74" s="611" t="s">
        <v>138</v>
      </c>
      <c r="B74" s="619" t="s">
        <v>743</v>
      </c>
      <c r="C74" s="613"/>
      <c r="D74" s="614"/>
      <c r="E74" s="614"/>
      <c r="F74" s="621"/>
      <c r="G74" s="621"/>
      <c r="H74" s="621"/>
      <c r="I74" s="620"/>
      <c r="J74" s="616"/>
      <c r="K74" s="616"/>
      <c r="L74" s="617"/>
      <c r="M74" s="617"/>
      <c r="N74" s="617"/>
      <c r="O74" s="617"/>
      <c r="P74" s="617"/>
      <c r="Q74" s="617"/>
      <c r="R74" s="617"/>
      <c r="S74" s="617"/>
      <c r="T74" s="617"/>
      <c r="U74" s="617"/>
      <c r="V74" s="617"/>
      <c r="W74" s="617"/>
      <c r="X74" s="617"/>
      <c r="Y74" s="617"/>
      <c r="Z74" s="617"/>
      <c r="AA74" s="617"/>
      <c r="AB74" s="617"/>
      <c r="AC74" s="617"/>
      <c r="AD74" s="617"/>
      <c r="AE74" s="618"/>
      <c r="AF74" s="618"/>
      <c r="AG74" s="618"/>
    </row>
    <row r="75" spans="1:33" x14ac:dyDescent="0.25">
      <c r="A75" s="611" t="s">
        <v>138</v>
      </c>
      <c r="B75" s="619" t="s">
        <v>744</v>
      </c>
      <c r="C75" s="613"/>
      <c r="D75" s="614"/>
      <c r="E75" s="614"/>
      <c r="F75" s="621"/>
      <c r="G75" s="621"/>
      <c r="H75" s="621"/>
      <c r="I75" s="621"/>
      <c r="J75" s="620"/>
      <c r="K75" s="616"/>
      <c r="L75" s="617"/>
      <c r="M75" s="617"/>
      <c r="N75" s="617"/>
      <c r="O75" s="617"/>
      <c r="P75" s="617"/>
      <c r="Q75" s="617"/>
      <c r="R75" s="617"/>
      <c r="S75" s="617"/>
      <c r="T75" s="617"/>
      <c r="U75" s="617"/>
      <c r="V75" s="617"/>
      <c r="W75" s="617"/>
      <c r="X75" s="617"/>
      <c r="Y75" s="617"/>
      <c r="Z75" s="617"/>
      <c r="AA75" s="617"/>
      <c r="AB75" s="617"/>
      <c r="AC75" s="617"/>
      <c r="AD75" s="617"/>
      <c r="AE75" s="618"/>
      <c r="AF75" s="618"/>
      <c r="AG75" s="618"/>
    </row>
    <row r="76" spans="1:33" x14ac:dyDescent="0.25">
      <c r="A76" s="611" t="s">
        <v>138</v>
      </c>
      <c r="B76" s="612" t="s">
        <v>745</v>
      </c>
      <c r="C76" s="611"/>
      <c r="D76" s="614"/>
      <c r="E76" s="614"/>
      <c r="F76" s="621"/>
      <c r="G76" s="621"/>
      <c r="H76" s="621"/>
      <c r="I76" s="621"/>
      <c r="J76" s="621"/>
      <c r="K76" s="620"/>
      <c r="L76" s="617"/>
      <c r="M76" s="617"/>
      <c r="N76" s="617"/>
      <c r="O76" s="617"/>
      <c r="P76" s="617"/>
      <c r="Q76" s="617"/>
      <c r="R76" s="617"/>
      <c r="S76" s="617"/>
      <c r="T76" s="617"/>
      <c r="U76" s="617"/>
      <c r="V76" s="617"/>
      <c r="W76" s="617"/>
      <c r="X76" s="617"/>
      <c r="Y76" s="617"/>
      <c r="Z76" s="617"/>
      <c r="AA76" s="617"/>
      <c r="AB76" s="617"/>
      <c r="AC76" s="617"/>
      <c r="AD76" s="617"/>
      <c r="AE76" s="618"/>
      <c r="AF76" s="618"/>
      <c r="AG76" s="618"/>
    </row>
    <row r="77" spans="1:33" x14ac:dyDescent="0.25">
      <c r="A77" s="611" t="s">
        <v>138</v>
      </c>
      <c r="B77" s="612" t="s">
        <v>746</v>
      </c>
      <c r="C77" s="611"/>
      <c r="D77" s="614"/>
      <c r="E77" s="614"/>
      <c r="F77" s="621"/>
      <c r="G77" s="621"/>
      <c r="H77" s="621"/>
      <c r="I77" s="621"/>
      <c r="J77" s="621"/>
      <c r="K77" s="621"/>
      <c r="L77" s="622"/>
      <c r="M77" s="617"/>
      <c r="N77" s="617"/>
      <c r="O77" s="617"/>
      <c r="P77" s="617"/>
      <c r="Q77" s="617"/>
      <c r="R77" s="617"/>
      <c r="S77" s="617"/>
      <c r="T77" s="617"/>
      <c r="U77" s="617"/>
      <c r="V77" s="617"/>
      <c r="W77" s="617"/>
      <c r="X77" s="617"/>
      <c r="Y77" s="617"/>
      <c r="Z77" s="617"/>
      <c r="AA77" s="617"/>
      <c r="AB77" s="617"/>
      <c r="AC77" s="617"/>
      <c r="AD77" s="617"/>
      <c r="AE77" s="618"/>
      <c r="AF77" s="618"/>
      <c r="AG77" s="618"/>
    </row>
    <row r="78" spans="1:33" x14ac:dyDescent="0.25">
      <c r="A78" s="611" t="s">
        <v>138</v>
      </c>
      <c r="B78" s="612" t="s">
        <v>747</v>
      </c>
      <c r="C78" s="611"/>
      <c r="D78" s="614"/>
      <c r="E78" s="614"/>
      <c r="F78" s="621"/>
      <c r="G78" s="621"/>
      <c r="H78" s="621"/>
      <c r="I78" s="621"/>
      <c r="J78" s="621"/>
      <c r="K78" s="621"/>
      <c r="L78" s="623"/>
      <c r="M78" s="622"/>
      <c r="N78" s="617"/>
      <c r="O78" s="617"/>
      <c r="P78" s="617"/>
      <c r="Q78" s="617"/>
      <c r="R78" s="617"/>
      <c r="S78" s="617"/>
      <c r="T78" s="617"/>
      <c r="U78" s="617"/>
      <c r="V78" s="617"/>
      <c r="W78" s="617"/>
      <c r="X78" s="617"/>
      <c r="Y78" s="617"/>
      <c r="Z78" s="617"/>
      <c r="AA78" s="617"/>
      <c r="AB78" s="617"/>
      <c r="AC78" s="617"/>
      <c r="AD78" s="617"/>
      <c r="AE78" s="618"/>
      <c r="AF78" s="618"/>
      <c r="AG78" s="618"/>
    </row>
    <row r="79" spans="1:33" x14ac:dyDescent="0.25">
      <c r="A79" s="611" t="s">
        <v>138</v>
      </c>
      <c r="B79" s="612" t="s">
        <v>759</v>
      </c>
      <c r="C79" s="611"/>
      <c r="D79" s="614"/>
      <c r="E79" s="614"/>
      <c r="F79" s="621"/>
      <c r="G79" s="621"/>
      <c r="H79" s="621"/>
      <c r="I79" s="621"/>
      <c r="J79" s="621"/>
      <c r="K79" s="621"/>
      <c r="L79" s="623"/>
      <c r="M79" s="623"/>
      <c r="N79" s="622"/>
      <c r="O79" s="617"/>
      <c r="P79" s="617"/>
      <c r="Q79" s="617"/>
      <c r="R79" s="617"/>
      <c r="S79" s="617"/>
      <c r="T79" s="617"/>
      <c r="U79" s="617"/>
      <c r="V79" s="617"/>
      <c r="W79" s="617"/>
      <c r="X79" s="617"/>
      <c r="Y79" s="617"/>
      <c r="Z79" s="617"/>
      <c r="AA79" s="617"/>
      <c r="AB79" s="617"/>
      <c r="AC79" s="617"/>
      <c r="AD79" s="617"/>
      <c r="AE79" s="618"/>
      <c r="AF79" s="618"/>
      <c r="AG79" s="618"/>
    </row>
    <row r="80" spans="1:33" x14ac:dyDescent="0.25">
      <c r="A80" s="611" t="s">
        <v>138</v>
      </c>
      <c r="B80" s="612" t="s">
        <v>748</v>
      </c>
      <c r="C80" s="611"/>
      <c r="D80" s="614"/>
      <c r="E80" s="614"/>
      <c r="F80" s="621"/>
      <c r="G80" s="621"/>
      <c r="H80" s="621"/>
      <c r="I80" s="621"/>
      <c r="J80" s="621"/>
      <c r="K80" s="621"/>
      <c r="L80" s="623"/>
      <c r="M80" s="623"/>
      <c r="N80" s="623"/>
      <c r="O80" s="622"/>
      <c r="P80" s="617"/>
      <c r="Q80" s="617"/>
      <c r="R80" s="617"/>
      <c r="S80" s="617"/>
      <c r="T80" s="617"/>
      <c r="U80" s="617"/>
      <c r="V80" s="617"/>
      <c r="W80" s="617"/>
      <c r="X80" s="617"/>
      <c r="Y80" s="617"/>
      <c r="Z80" s="617"/>
      <c r="AA80" s="617"/>
      <c r="AB80" s="617"/>
      <c r="AC80" s="617"/>
      <c r="AD80" s="617"/>
      <c r="AE80" s="618"/>
      <c r="AF80" s="618"/>
      <c r="AG80" s="618"/>
    </row>
    <row r="81" spans="1:33" x14ac:dyDescent="0.25">
      <c r="A81" s="611" t="s">
        <v>138</v>
      </c>
      <c r="B81" s="612" t="s">
        <v>749</v>
      </c>
      <c r="C81" s="611"/>
      <c r="D81" s="614"/>
      <c r="E81" s="614"/>
      <c r="F81" s="621"/>
      <c r="G81" s="621"/>
      <c r="H81" s="621"/>
      <c r="I81" s="621"/>
      <c r="J81" s="621"/>
      <c r="K81" s="621"/>
      <c r="L81" s="623"/>
      <c r="M81" s="623"/>
      <c r="N81" s="623"/>
      <c r="O81" s="623"/>
      <c r="P81" s="622"/>
      <c r="Q81" s="617"/>
      <c r="R81" s="617"/>
      <c r="S81" s="617"/>
      <c r="T81" s="617"/>
      <c r="U81" s="617"/>
      <c r="V81" s="617"/>
      <c r="W81" s="617"/>
      <c r="X81" s="617"/>
      <c r="Y81" s="617"/>
      <c r="Z81" s="617"/>
      <c r="AA81" s="617"/>
      <c r="AB81" s="617"/>
      <c r="AC81" s="617"/>
      <c r="AD81" s="617"/>
      <c r="AE81" s="618"/>
      <c r="AF81" s="618"/>
      <c r="AG81" s="618"/>
    </row>
    <row r="82" spans="1:33" x14ac:dyDescent="0.25">
      <c r="A82" s="611" t="s">
        <v>138</v>
      </c>
      <c r="B82" s="612" t="s">
        <v>760</v>
      </c>
      <c r="C82" s="618"/>
      <c r="D82" s="614"/>
      <c r="E82" s="614"/>
      <c r="F82" s="621"/>
      <c r="G82" s="621"/>
      <c r="H82" s="621"/>
      <c r="I82" s="621"/>
      <c r="J82" s="621"/>
      <c r="K82" s="621"/>
      <c r="L82" s="623"/>
      <c r="M82" s="623"/>
      <c r="N82" s="623"/>
      <c r="O82" s="623"/>
      <c r="P82" s="623"/>
      <c r="Q82" s="622"/>
      <c r="R82" s="617"/>
      <c r="S82" s="617"/>
      <c r="T82" s="617"/>
      <c r="U82" s="617"/>
      <c r="V82" s="617"/>
      <c r="W82" s="617"/>
      <c r="X82" s="617"/>
      <c r="Y82" s="617"/>
      <c r="Z82" s="617"/>
      <c r="AA82" s="617"/>
      <c r="AB82" s="617"/>
      <c r="AC82" s="617"/>
      <c r="AD82" s="617"/>
      <c r="AE82" s="618"/>
      <c r="AF82" s="618"/>
      <c r="AG82" s="618"/>
    </row>
    <row r="83" spans="1:33" x14ac:dyDescent="0.25">
      <c r="A83" s="611" t="s">
        <v>138</v>
      </c>
      <c r="B83" s="612" t="s">
        <v>751</v>
      </c>
      <c r="C83" s="618"/>
      <c r="D83" s="614"/>
      <c r="E83" s="614"/>
      <c r="F83" s="621"/>
      <c r="G83" s="621"/>
      <c r="H83" s="621"/>
      <c r="I83" s="621"/>
      <c r="J83" s="621"/>
      <c r="K83" s="621"/>
      <c r="L83" s="623"/>
      <c r="M83" s="623"/>
      <c r="N83" s="623"/>
      <c r="O83" s="623"/>
      <c r="P83" s="623"/>
      <c r="Q83" s="623"/>
      <c r="R83" s="622"/>
      <c r="T83" s="618"/>
      <c r="U83" s="618"/>
      <c r="V83" s="618"/>
      <c r="W83" s="617"/>
      <c r="X83" s="617"/>
      <c r="Y83" s="617"/>
      <c r="Z83" s="617"/>
      <c r="AA83" s="617"/>
      <c r="AB83" s="617"/>
      <c r="AC83" s="617"/>
      <c r="AD83" s="617"/>
      <c r="AE83" s="618"/>
      <c r="AF83" s="618"/>
      <c r="AG83" s="618"/>
    </row>
    <row r="84" spans="1:33" x14ac:dyDescent="0.25">
      <c r="A84" s="611" t="s">
        <v>138</v>
      </c>
      <c r="B84" s="612" t="s">
        <v>752</v>
      </c>
      <c r="C84" s="618"/>
      <c r="D84" s="614"/>
      <c r="E84" s="614"/>
      <c r="F84" s="621"/>
      <c r="G84" s="621"/>
      <c r="H84" s="621"/>
      <c r="I84" s="621"/>
      <c r="J84" s="621"/>
      <c r="K84" s="621"/>
      <c r="L84" s="623"/>
      <c r="M84" s="623"/>
      <c r="N84" s="623"/>
      <c r="O84" s="623"/>
      <c r="P84" s="623"/>
      <c r="Q84" s="623"/>
      <c r="R84" s="623"/>
      <c r="S84" s="622"/>
      <c r="T84" s="618"/>
      <c r="U84" s="618"/>
      <c r="V84" s="618"/>
      <c r="W84" s="617"/>
      <c r="X84" s="617"/>
      <c r="Y84" s="617"/>
      <c r="Z84" s="617"/>
      <c r="AA84" s="617"/>
      <c r="AB84" s="617"/>
      <c r="AC84" s="617"/>
      <c r="AD84" s="617"/>
      <c r="AE84" s="618"/>
      <c r="AF84" s="618"/>
      <c r="AG84" s="618"/>
    </row>
    <row r="85" spans="1:33" x14ac:dyDescent="0.25">
      <c r="A85" s="611" t="s">
        <v>138</v>
      </c>
      <c r="B85" s="612" t="s">
        <v>753</v>
      </c>
      <c r="C85" s="618"/>
      <c r="D85" s="614"/>
      <c r="E85" s="614"/>
      <c r="F85" s="621"/>
      <c r="G85" s="621"/>
      <c r="H85" s="621"/>
      <c r="I85" s="621"/>
      <c r="J85" s="621"/>
      <c r="K85" s="621"/>
      <c r="L85" s="623"/>
      <c r="M85" s="623"/>
      <c r="N85" s="623"/>
      <c r="O85" s="623"/>
      <c r="P85" s="623"/>
      <c r="Q85" s="623"/>
      <c r="R85" s="623"/>
      <c r="S85" s="623"/>
      <c r="T85" s="622"/>
      <c r="U85" s="618"/>
      <c r="V85" s="618"/>
      <c r="W85" s="617"/>
      <c r="X85" s="617"/>
      <c r="Y85" s="617"/>
      <c r="Z85" s="617"/>
      <c r="AA85" s="617"/>
      <c r="AB85" s="617"/>
      <c r="AC85" s="617"/>
      <c r="AD85" s="617"/>
      <c r="AE85" s="618"/>
      <c r="AF85" s="618"/>
      <c r="AG85" s="618"/>
    </row>
    <row r="86" spans="1:33" x14ac:dyDescent="0.25">
      <c r="A86" s="611" t="s">
        <v>138</v>
      </c>
      <c r="B86" s="612" t="s">
        <v>754</v>
      </c>
      <c r="C86" s="618"/>
      <c r="D86" s="614"/>
      <c r="E86" s="614"/>
      <c r="F86" s="621"/>
      <c r="G86" s="621"/>
      <c r="H86" s="621"/>
      <c r="I86" s="621"/>
      <c r="J86" s="621"/>
      <c r="K86" s="621"/>
      <c r="L86" s="623"/>
      <c r="M86" s="623"/>
      <c r="N86" s="623"/>
      <c r="O86" s="623"/>
      <c r="P86" s="623"/>
      <c r="Q86" s="623"/>
      <c r="R86" s="623"/>
      <c r="S86" s="623"/>
      <c r="T86" s="623"/>
      <c r="U86" s="622"/>
      <c r="V86" s="618"/>
      <c r="W86" s="617"/>
      <c r="X86" s="617"/>
      <c r="Y86" s="617"/>
      <c r="Z86" s="617"/>
      <c r="AA86" s="617"/>
      <c r="AB86" s="617"/>
      <c r="AC86" s="617"/>
      <c r="AD86" s="617"/>
      <c r="AE86" s="618"/>
      <c r="AF86" s="618"/>
      <c r="AG86" s="618"/>
    </row>
    <row r="87" spans="1:33" x14ac:dyDescent="0.25">
      <c r="A87" s="611" t="s">
        <v>138</v>
      </c>
      <c r="B87" s="612" t="s">
        <v>755</v>
      </c>
      <c r="C87" s="618"/>
      <c r="D87" s="614"/>
      <c r="E87" s="614"/>
      <c r="F87" s="621"/>
      <c r="G87" s="621"/>
      <c r="H87" s="621"/>
      <c r="I87" s="621"/>
      <c r="J87" s="621"/>
      <c r="K87" s="621"/>
      <c r="L87" s="623"/>
      <c r="M87" s="623"/>
      <c r="N87" s="623"/>
      <c r="O87" s="623"/>
      <c r="P87" s="623"/>
      <c r="Q87" s="623"/>
      <c r="R87" s="623"/>
      <c r="S87" s="623"/>
      <c r="T87" s="623"/>
      <c r="U87" s="623"/>
      <c r="V87" s="622"/>
      <c r="W87" s="617"/>
      <c r="X87" s="617"/>
      <c r="Y87" s="617"/>
      <c r="Z87" s="617"/>
      <c r="AA87" s="617"/>
      <c r="AB87" s="617"/>
      <c r="AC87" s="617"/>
      <c r="AD87" s="617"/>
      <c r="AE87" s="618"/>
      <c r="AF87" s="618"/>
      <c r="AG87" s="618"/>
    </row>
    <row r="88" spans="1:33" x14ac:dyDescent="0.25">
      <c r="A88" s="611" t="s">
        <v>138</v>
      </c>
      <c r="B88" s="612" t="s">
        <v>756</v>
      </c>
      <c r="C88" s="618"/>
      <c r="D88" s="614"/>
      <c r="E88" s="614"/>
      <c r="F88" s="621"/>
      <c r="G88" s="621"/>
      <c r="H88" s="621"/>
      <c r="I88" s="621"/>
      <c r="J88" s="621"/>
      <c r="K88" s="621"/>
      <c r="L88" s="623"/>
      <c r="M88" s="623"/>
      <c r="N88" s="623"/>
      <c r="O88" s="623"/>
      <c r="P88" s="623"/>
      <c r="Q88" s="623"/>
      <c r="R88" s="623"/>
      <c r="S88" s="623"/>
      <c r="T88" s="623"/>
      <c r="U88" s="623"/>
      <c r="V88" s="623"/>
      <c r="W88" s="622"/>
      <c r="X88" s="617"/>
      <c r="Y88" s="617"/>
      <c r="Z88" s="617"/>
      <c r="AA88" s="617"/>
      <c r="AB88" s="617"/>
      <c r="AC88" s="617"/>
      <c r="AD88" s="617"/>
      <c r="AE88" s="618"/>
      <c r="AF88" s="618"/>
      <c r="AG88" s="618"/>
    </row>
    <row r="89" spans="1:33" x14ac:dyDescent="0.25">
      <c r="A89" s="611" t="s">
        <v>138</v>
      </c>
      <c r="B89" s="612" t="s">
        <v>757</v>
      </c>
      <c r="C89" s="618"/>
      <c r="D89" s="614"/>
      <c r="E89" s="614"/>
      <c r="F89" s="621"/>
      <c r="G89" s="621"/>
      <c r="H89" s="621"/>
      <c r="I89" s="621"/>
      <c r="J89" s="621"/>
      <c r="K89" s="621"/>
      <c r="L89" s="623"/>
      <c r="M89" s="623"/>
      <c r="N89" s="623"/>
      <c r="O89" s="623"/>
      <c r="P89" s="623"/>
      <c r="Q89" s="623"/>
      <c r="R89" s="623"/>
      <c r="S89" s="623"/>
      <c r="T89" s="623"/>
      <c r="U89" s="623"/>
      <c r="V89" s="623"/>
      <c r="W89" s="623"/>
      <c r="X89" s="622"/>
      <c r="Y89" s="617"/>
      <c r="Z89" s="617"/>
      <c r="AA89" s="617"/>
      <c r="AB89" s="617"/>
      <c r="AC89" s="617"/>
      <c r="AD89" s="617"/>
      <c r="AE89" s="618"/>
      <c r="AF89" s="618"/>
      <c r="AG89" s="618"/>
    </row>
    <row r="90" spans="1:33" x14ac:dyDescent="0.25">
      <c r="A90" s="611" t="s">
        <v>138</v>
      </c>
      <c r="B90" s="612" t="s">
        <v>761</v>
      </c>
      <c r="C90" s="618"/>
      <c r="D90" s="614"/>
      <c r="E90" s="614"/>
      <c r="F90" s="621"/>
      <c r="G90" s="621"/>
      <c r="H90" s="621"/>
      <c r="I90" s="621"/>
      <c r="J90" s="621"/>
      <c r="K90" s="621"/>
      <c r="L90" s="623"/>
      <c r="M90" s="623"/>
      <c r="N90" s="623"/>
      <c r="O90" s="623"/>
      <c r="P90" s="623"/>
      <c r="Q90" s="623"/>
      <c r="R90" s="623"/>
      <c r="S90" s="623"/>
      <c r="T90" s="623"/>
      <c r="U90" s="623"/>
      <c r="V90" s="623"/>
      <c r="W90" s="623"/>
      <c r="X90" s="623"/>
      <c r="Y90" s="622"/>
      <c r="Z90" s="617"/>
      <c r="AA90" s="617"/>
      <c r="AB90" s="617"/>
      <c r="AC90" s="617"/>
      <c r="AD90" s="617"/>
      <c r="AE90" s="618"/>
      <c r="AF90" s="618"/>
      <c r="AG90" s="618"/>
    </row>
    <row r="91" spans="1:33" x14ac:dyDescent="0.25">
      <c r="A91" s="611" t="s">
        <v>138</v>
      </c>
      <c r="B91" s="612" t="s">
        <v>762</v>
      </c>
      <c r="C91" s="618"/>
      <c r="D91" s="614"/>
      <c r="E91" s="614"/>
      <c r="F91" s="621"/>
      <c r="G91" s="621"/>
      <c r="H91" s="621"/>
      <c r="I91" s="621"/>
      <c r="J91" s="621"/>
      <c r="K91" s="621"/>
      <c r="L91" s="623"/>
      <c r="M91" s="623"/>
      <c r="N91" s="623"/>
      <c r="O91" s="623"/>
      <c r="P91" s="623"/>
      <c r="Q91" s="623"/>
      <c r="R91" s="623"/>
      <c r="S91" s="623"/>
      <c r="T91" s="623"/>
      <c r="U91" s="623"/>
      <c r="V91" s="623"/>
      <c r="W91" s="623"/>
      <c r="X91" s="623"/>
      <c r="Y91" s="623"/>
      <c r="Z91" s="622"/>
      <c r="AA91" s="617"/>
      <c r="AB91" s="617"/>
      <c r="AC91" s="617"/>
      <c r="AD91" s="617"/>
      <c r="AE91" s="618"/>
      <c r="AF91" s="618"/>
      <c r="AG91" s="618"/>
    </row>
    <row r="92" spans="1:33" x14ac:dyDescent="0.25">
      <c r="A92" s="611" t="s">
        <v>138</v>
      </c>
      <c r="B92" s="612" t="s">
        <v>763</v>
      </c>
      <c r="C92" s="618"/>
      <c r="D92" s="614"/>
      <c r="E92" s="614"/>
      <c r="F92" s="621"/>
      <c r="G92" s="621"/>
      <c r="H92" s="621"/>
      <c r="I92" s="621"/>
      <c r="J92" s="621"/>
      <c r="K92" s="621"/>
      <c r="L92" s="623"/>
      <c r="M92" s="623"/>
      <c r="N92" s="623"/>
      <c r="O92" s="623"/>
      <c r="P92" s="623"/>
      <c r="Q92" s="623"/>
      <c r="R92" s="623"/>
      <c r="S92" s="623"/>
      <c r="T92" s="623"/>
      <c r="U92" s="623"/>
      <c r="V92" s="623"/>
      <c r="W92" s="623"/>
      <c r="X92" s="623"/>
      <c r="Y92" s="623"/>
      <c r="Z92" s="623"/>
      <c r="AA92" s="622"/>
      <c r="AB92" s="617"/>
      <c r="AC92" s="617"/>
      <c r="AD92" s="617"/>
      <c r="AE92" s="618"/>
      <c r="AF92" s="618"/>
      <c r="AG92" s="618"/>
    </row>
    <row r="93" spans="1:33" x14ac:dyDescent="0.25">
      <c r="A93" s="611" t="s">
        <v>138</v>
      </c>
      <c r="B93" s="612" t="s">
        <v>764</v>
      </c>
      <c r="C93" s="618"/>
      <c r="D93" s="614"/>
      <c r="E93" s="614"/>
      <c r="F93" s="621"/>
      <c r="G93" s="621"/>
      <c r="H93" s="621"/>
      <c r="I93" s="621"/>
      <c r="J93" s="621"/>
      <c r="K93" s="621"/>
      <c r="L93" s="623"/>
      <c r="M93" s="623"/>
      <c r="N93" s="623"/>
      <c r="O93" s="623"/>
      <c r="P93" s="623"/>
      <c r="Q93" s="623"/>
      <c r="R93" s="623"/>
      <c r="S93" s="623"/>
      <c r="T93" s="623"/>
      <c r="U93" s="623"/>
      <c r="V93" s="623"/>
      <c r="W93" s="623"/>
      <c r="X93" s="623"/>
      <c r="Y93" s="623"/>
      <c r="Z93" s="623"/>
      <c r="AA93" s="623"/>
      <c r="AB93" s="622"/>
      <c r="AC93" s="617"/>
      <c r="AD93" s="617"/>
      <c r="AE93" s="618"/>
      <c r="AF93" s="618"/>
      <c r="AG93" s="618"/>
    </row>
    <row r="94" spans="1:33" x14ac:dyDescent="0.25">
      <c r="A94" s="611" t="s">
        <v>138</v>
      </c>
      <c r="B94" s="612" t="s">
        <v>765</v>
      </c>
      <c r="C94" s="618"/>
      <c r="D94" s="614"/>
      <c r="E94" s="614"/>
      <c r="F94" s="621"/>
      <c r="G94" s="621"/>
      <c r="H94" s="621"/>
      <c r="I94" s="621"/>
      <c r="J94" s="621"/>
      <c r="K94" s="621"/>
      <c r="L94" s="623"/>
      <c r="M94" s="623"/>
      <c r="N94" s="623"/>
      <c r="O94" s="623"/>
      <c r="P94" s="623"/>
      <c r="Q94" s="623"/>
      <c r="R94" s="623"/>
      <c r="S94" s="623"/>
      <c r="T94" s="623"/>
      <c r="U94" s="623"/>
      <c r="V94" s="623"/>
      <c r="W94" s="623"/>
      <c r="X94" s="623"/>
      <c r="Y94" s="623"/>
      <c r="Z94" s="623"/>
      <c r="AA94" s="623"/>
      <c r="AB94" s="623"/>
      <c r="AC94" s="622"/>
      <c r="AD94" s="617"/>
      <c r="AE94" s="618"/>
      <c r="AF94" s="618"/>
      <c r="AG94" s="618"/>
    </row>
    <row r="95" spans="1:33" x14ac:dyDescent="0.25">
      <c r="A95" s="611" t="s">
        <v>138</v>
      </c>
      <c r="B95" s="612" t="s">
        <v>766</v>
      </c>
      <c r="C95" s="618"/>
      <c r="D95" s="614"/>
      <c r="E95" s="614"/>
      <c r="F95" s="621"/>
      <c r="G95" s="621"/>
      <c r="H95" s="621"/>
      <c r="I95" s="621"/>
      <c r="J95" s="621"/>
      <c r="K95" s="621"/>
      <c r="L95" s="623"/>
      <c r="M95" s="623"/>
      <c r="N95" s="623"/>
      <c r="O95" s="623"/>
      <c r="P95" s="623"/>
      <c r="Q95" s="623"/>
      <c r="R95" s="623"/>
      <c r="S95" s="623"/>
      <c r="T95" s="623"/>
      <c r="U95" s="623"/>
      <c r="V95" s="623"/>
      <c r="W95" s="623"/>
      <c r="X95" s="623"/>
      <c r="Y95" s="623"/>
      <c r="Z95" s="623"/>
      <c r="AA95" s="623"/>
      <c r="AB95" s="623"/>
      <c r="AC95" s="623"/>
      <c r="AD95" s="622"/>
      <c r="AE95" s="618"/>
      <c r="AF95" s="618"/>
      <c r="AG95" s="618"/>
    </row>
    <row r="96" spans="1:33" x14ac:dyDescent="0.25">
      <c r="A96" s="624"/>
      <c r="B96" s="625" t="s">
        <v>180</v>
      </c>
      <c r="C96" s="626"/>
      <c r="D96" s="626"/>
      <c r="E96" s="626"/>
      <c r="F96" s="626"/>
      <c r="G96" s="626"/>
      <c r="H96" s="626"/>
      <c r="I96" s="626"/>
      <c r="J96" s="626"/>
      <c r="K96" s="626"/>
      <c r="L96" s="626"/>
      <c r="M96" s="626"/>
      <c r="N96" s="626"/>
      <c r="O96" s="626"/>
      <c r="P96" s="626"/>
      <c r="Q96" s="626"/>
      <c r="R96" s="626"/>
      <c r="S96" s="626"/>
      <c r="T96" s="626"/>
      <c r="U96" s="626"/>
      <c r="V96" s="626"/>
      <c r="W96" s="626"/>
      <c r="X96" s="626"/>
      <c r="Y96" s="626"/>
      <c r="Z96" s="626"/>
      <c r="AA96" s="626"/>
      <c r="AB96" s="626"/>
      <c r="AC96" s="626"/>
      <c r="AD96" s="626"/>
      <c r="AE96" s="626"/>
      <c r="AF96" s="626"/>
      <c r="AG96" s="626"/>
    </row>
    <row r="97" spans="1:33" x14ac:dyDescent="0.25">
      <c r="A97" s="606"/>
      <c r="B97" s="644"/>
      <c r="C97" s="645"/>
      <c r="D97" s="645"/>
      <c r="E97" s="645"/>
      <c r="F97" s="645"/>
      <c r="G97" s="645"/>
      <c r="H97" s="645"/>
      <c r="I97" s="645"/>
      <c r="J97" s="645"/>
      <c r="K97" s="645"/>
      <c r="L97" s="645"/>
      <c r="M97" s="645"/>
      <c r="N97" s="645"/>
      <c r="O97" s="645"/>
      <c r="P97" s="645"/>
      <c r="Q97" s="645"/>
      <c r="R97" s="645"/>
      <c r="S97" s="645"/>
      <c r="T97" s="645"/>
      <c r="U97" s="645"/>
      <c r="V97" s="645"/>
      <c r="W97" s="645"/>
      <c r="X97" s="645"/>
      <c r="Y97" s="645"/>
      <c r="Z97" s="645"/>
      <c r="AA97" s="645"/>
      <c r="AB97" s="645"/>
      <c r="AC97" s="645"/>
      <c r="AD97" s="645"/>
      <c r="AE97" s="645"/>
      <c r="AF97" s="645"/>
      <c r="AG97" s="645"/>
    </row>
    <row r="98" spans="1:33" x14ac:dyDescent="0.25">
      <c r="A98" s="606"/>
      <c r="B98" s="644"/>
      <c r="C98" s="645"/>
      <c r="D98" s="645"/>
      <c r="E98" s="645"/>
      <c r="F98" s="645"/>
      <c r="G98" s="645"/>
      <c r="H98" s="645"/>
      <c r="I98" s="645"/>
      <c r="J98" s="645"/>
      <c r="K98" s="645"/>
      <c r="L98" s="645"/>
      <c r="M98" s="645"/>
      <c r="N98" s="645"/>
      <c r="O98" s="645"/>
      <c r="P98" s="645"/>
      <c r="Q98" s="645"/>
      <c r="R98" s="645"/>
      <c r="S98" s="645"/>
      <c r="T98" s="645"/>
      <c r="U98" s="645"/>
      <c r="V98" s="645"/>
      <c r="W98" s="645"/>
      <c r="X98" s="645"/>
      <c r="Y98" s="645"/>
      <c r="Z98" s="645"/>
      <c r="AA98" s="645"/>
      <c r="AB98" s="645"/>
      <c r="AC98" s="645"/>
      <c r="AD98" s="645"/>
      <c r="AE98" s="645"/>
      <c r="AF98" s="645"/>
      <c r="AG98" s="645"/>
    </row>
    <row r="99" spans="1:33" x14ac:dyDescent="0.25">
      <c r="B99" s="605" t="s">
        <v>769</v>
      </c>
      <c r="F99" s="606" t="s">
        <v>73</v>
      </c>
      <c r="G99" s="606"/>
      <c r="H99" s="606"/>
      <c r="I99" s="606"/>
      <c r="J99" s="606"/>
      <c r="K99" s="606"/>
    </row>
    <row r="100" spans="1:33" ht="26.4" x14ac:dyDescent="0.3">
      <c r="A100" s="607"/>
      <c r="B100" s="630" t="s">
        <v>696</v>
      </c>
      <c r="C100" s="1201" t="s">
        <v>767</v>
      </c>
      <c r="D100" s="1201" t="s">
        <v>734</v>
      </c>
      <c r="E100" s="1201" t="s">
        <v>735</v>
      </c>
      <c r="F100" s="1203" t="s">
        <v>736</v>
      </c>
      <c r="G100" s="1204"/>
      <c r="H100" s="1204"/>
      <c r="I100" s="1204"/>
      <c r="J100" s="1204"/>
      <c r="K100" s="1204"/>
      <c r="L100" s="1204"/>
      <c r="M100" s="1204"/>
      <c r="N100" s="1204"/>
      <c r="O100" s="1204"/>
      <c r="P100" s="1204"/>
      <c r="Q100" s="1204"/>
      <c r="R100" s="1204"/>
      <c r="S100" s="1204"/>
      <c r="T100" s="1204"/>
      <c r="U100" s="1204"/>
      <c r="V100" s="1204"/>
      <c r="W100" s="1204"/>
      <c r="X100" s="1204"/>
      <c r="Y100" s="1204"/>
      <c r="Z100" s="1204"/>
      <c r="AA100" s="1204"/>
      <c r="AB100" s="1204"/>
      <c r="AC100" s="1204"/>
      <c r="AD100" s="1205"/>
      <c r="AE100" s="608" t="s">
        <v>737</v>
      </c>
      <c r="AF100" s="608" t="s">
        <v>738</v>
      </c>
      <c r="AG100" s="608" t="s">
        <v>739</v>
      </c>
    </row>
    <row r="101" spans="1:33" x14ac:dyDescent="0.25">
      <c r="A101" s="607"/>
      <c r="B101" s="630"/>
      <c r="C101" s="1202"/>
      <c r="D101" s="1202"/>
      <c r="E101" s="1202"/>
      <c r="F101" s="609" t="s">
        <v>740</v>
      </c>
      <c r="G101" s="609" t="s">
        <v>741</v>
      </c>
      <c r="H101" s="609" t="s">
        <v>742</v>
      </c>
      <c r="I101" s="609" t="s">
        <v>743</v>
      </c>
      <c r="J101" s="609" t="s">
        <v>744</v>
      </c>
      <c r="K101" s="609" t="s">
        <v>745</v>
      </c>
      <c r="L101" s="610" t="s">
        <v>746</v>
      </c>
      <c r="M101" s="610" t="s">
        <v>747</v>
      </c>
      <c r="N101" s="610" t="s">
        <v>759</v>
      </c>
      <c r="O101" s="610" t="s">
        <v>748</v>
      </c>
      <c r="P101" s="610" t="s">
        <v>749</v>
      </c>
      <c r="Q101" s="610" t="s">
        <v>750</v>
      </c>
      <c r="R101" s="610" t="s">
        <v>751</v>
      </c>
      <c r="S101" s="610" t="s">
        <v>752</v>
      </c>
      <c r="T101" s="610" t="s">
        <v>753</v>
      </c>
      <c r="U101" s="610" t="s">
        <v>754</v>
      </c>
      <c r="V101" s="610" t="s">
        <v>755</v>
      </c>
      <c r="W101" s="610" t="s">
        <v>756</v>
      </c>
      <c r="X101" s="610" t="s">
        <v>757</v>
      </c>
      <c r="Y101" s="610" t="s">
        <v>77</v>
      </c>
      <c r="Z101" s="610" t="s">
        <v>87</v>
      </c>
      <c r="AA101" s="610" t="s">
        <v>88</v>
      </c>
      <c r="AB101" s="610" t="s">
        <v>89</v>
      </c>
      <c r="AC101" s="610" t="s">
        <v>90</v>
      </c>
      <c r="AD101" s="610" t="s">
        <v>91</v>
      </c>
      <c r="AE101" s="608"/>
      <c r="AF101" s="608"/>
      <c r="AG101" s="608"/>
    </row>
    <row r="102" spans="1:33" x14ac:dyDescent="0.25">
      <c r="A102" s="611" t="s">
        <v>758</v>
      </c>
      <c r="B102" s="612">
        <v>2005</v>
      </c>
      <c r="C102" s="613"/>
      <c r="D102" s="614"/>
      <c r="E102" s="614"/>
      <c r="F102" s="615"/>
      <c r="G102" s="615"/>
      <c r="H102" s="615"/>
      <c r="I102" s="615"/>
      <c r="J102" s="615"/>
      <c r="K102" s="616"/>
      <c r="L102" s="617"/>
      <c r="M102" s="617"/>
      <c r="N102" s="617"/>
      <c r="O102" s="617"/>
      <c r="P102" s="617"/>
      <c r="Q102" s="617"/>
      <c r="R102" s="617"/>
      <c r="S102" s="617"/>
      <c r="T102" s="617"/>
      <c r="U102" s="617"/>
      <c r="V102" s="617"/>
      <c r="W102" s="617"/>
      <c r="X102" s="617"/>
      <c r="Y102" s="617"/>
      <c r="Z102" s="617"/>
      <c r="AA102" s="617"/>
      <c r="AB102" s="617"/>
      <c r="AC102" s="617"/>
      <c r="AD102" s="617"/>
      <c r="AE102" s="618"/>
      <c r="AF102" s="618"/>
      <c r="AG102" s="618"/>
    </row>
    <row r="103" spans="1:33" x14ac:dyDescent="0.25">
      <c r="A103" s="611" t="s">
        <v>138</v>
      </c>
      <c r="B103" s="619" t="s">
        <v>740</v>
      </c>
      <c r="C103" s="613"/>
      <c r="D103" s="614"/>
      <c r="E103" s="614"/>
      <c r="F103" s="620"/>
      <c r="G103" s="616"/>
      <c r="H103" s="616"/>
      <c r="I103" s="616"/>
      <c r="J103" s="616"/>
      <c r="K103" s="616"/>
      <c r="L103" s="617"/>
      <c r="M103" s="617"/>
      <c r="N103" s="617"/>
      <c r="O103" s="617"/>
      <c r="P103" s="617"/>
      <c r="Q103" s="617"/>
      <c r="R103" s="617"/>
      <c r="S103" s="617"/>
      <c r="T103" s="617"/>
      <c r="U103" s="617"/>
      <c r="V103" s="617"/>
      <c r="W103" s="617"/>
      <c r="X103" s="617"/>
      <c r="Y103" s="617"/>
      <c r="Z103" s="617"/>
      <c r="AA103" s="617"/>
      <c r="AB103" s="617"/>
      <c r="AC103" s="617"/>
      <c r="AD103" s="617"/>
      <c r="AE103" s="618"/>
      <c r="AF103" s="618"/>
      <c r="AG103" s="618"/>
    </row>
    <row r="104" spans="1:33" x14ac:dyDescent="0.25">
      <c r="A104" s="611" t="s">
        <v>138</v>
      </c>
      <c r="B104" s="619" t="s">
        <v>741</v>
      </c>
      <c r="C104" s="613"/>
      <c r="D104" s="614"/>
      <c r="E104" s="614"/>
      <c r="F104" s="621"/>
      <c r="G104" s="620"/>
      <c r="H104" s="616"/>
      <c r="I104" s="616"/>
      <c r="J104" s="616"/>
      <c r="K104" s="616"/>
      <c r="L104" s="617"/>
      <c r="M104" s="617"/>
      <c r="N104" s="617"/>
      <c r="O104" s="617"/>
      <c r="P104" s="617"/>
      <c r="Q104" s="617"/>
      <c r="R104" s="617"/>
      <c r="S104" s="617"/>
      <c r="T104" s="617"/>
      <c r="U104" s="617"/>
      <c r="V104" s="617"/>
      <c r="W104" s="617"/>
      <c r="X104" s="617"/>
      <c r="Y104" s="617"/>
      <c r="Z104" s="617"/>
      <c r="AA104" s="617"/>
      <c r="AB104" s="617"/>
      <c r="AC104" s="617"/>
      <c r="AD104" s="617"/>
      <c r="AE104" s="618"/>
      <c r="AF104" s="618"/>
      <c r="AG104" s="618"/>
    </row>
    <row r="105" spans="1:33" x14ac:dyDescent="0.25">
      <c r="A105" s="611" t="s">
        <v>138</v>
      </c>
      <c r="B105" s="619" t="s">
        <v>742</v>
      </c>
      <c r="C105" s="613"/>
      <c r="D105" s="614"/>
      <c r="E105" s="614"/>
      <c r="F105" s="621"/>
      <c r="G105" s="621"/>
      <c r="H105" s="620"/>
      <c r="I105" s="616"/>
      <c r="J105" s="616"/>
      <c r="K105" s="616"/>
      <c r="L105" s="617"/>
      <c r="M105" s="617"/>
      <c r="N105" s="617"/>
      <c r="O105" s="617"/>
      <c r="P105" s="617"/>
      <c r="Q105" s="617"/>
      <c r="R105" s="617"/>
      <c r="S105" s="617"/>
      <c r="T105" s="617"/>
      <c r="U105" s="617"/>
      <c r="V105" s="617"/>
      <c r="W105" s="617"/>
      <c r="X105" s="617"/>
      <c r="Y105" s="617"/>
      <c r="Z105" s="617"/>
      <c r="AA105" s="617"/>
      <c r="AB105" s="617"/>
      <c r="AC105" s="617"/>
      <c r="AD105" s="617"/>
      <c r="AE105" s="618"/>
      <c r="AF105" s="618"/>
      <c r="AG105" s="618"/>
    </row>
    <row r="106" spans="1:33" x14ac:dyDescent="0.25">
      <c r="A106" s="611" t="s">
        <v>138</v>
      </c>
      <c r="B106" s="619" t="s">
        <v>743</v>
      </c>
      <c r="C106" s="613"/>
      <c r="D106" s="614"/>
      <c r="E106" s="614"/>
      <c r="F106" s="621"/>
      <c r="G106" s="621"/>
      <c r="H106" s="621"/>
      <c r="I106" s="620"/>
      <c r="J106" s="616"/>
      <c r="K106" s="616"/>
      <c r="L106" s="617"/>
      <c r="M106" s="617"/>
      <c r="N106" s="617"/>
      <c r="O106" s="617"/>
      <c r="P106" s="617"/>
      <c r="Q106" s="617"/>
      <c r="R106" s="617"/>
      <c r="S106" s="617"/>
      <c r="T106" s="617"/>
      <c r="U106" s="617"/>
      <c r="V106" s="617"/>
      <c r="W106" s="617"/>
      <c r="X106" s="617"/>
      <c r="Y106" s="617"/>
      <c r="Z106" s="617"/>
      <c r="AA106" s="617"/>
      <c r="AB106" s="617"/>
      <c r="AC106" s="617"/>
      <c r="AD106" s="617"/>
      <c r="AE106" s="618"/>
      <c r="AF106" s="618"/>
      <c r="AG106" s="618"/>
    </row>
    <row r="107" spans="1:33" x14ac:dyDescent="0.25">
      <c r="A107" s="611" t="s">
        <v>138</v>
      </c>
      <c r="B107" s="619" t="s">
        <v>744</v>
      </c>
      <c r="C107" s="613"/>
      <c r="D107" s="614"/>
      <c r="E107" s="614"/>
      <c r="F107" s="621"/>
      <c r="G107" s="621"/>
      <c r="H107" s="621"/>
      <c r="I107" s="621"/>
      <c r="J107" s="620"/>
      <c r="K107" s="616"/>
      <c r="L107" s="617"/>
      <c r="M107" s="617"/>
      <c r="N107" s="617"/>
      <c r="O107" s="617"/>
      <c r="P107" s="617"/>
      <c r="Q107" s="617"/>
      <c r="R107" s="617"/>
      <c r="S107" s="617"/>
      <c r="T107" s="617"/>
      <c r="U107" s="617"/>
      <c r="V107" s="617"/>
      <c r="W107" s="617"/>
      <c r="X107" s="617"/>
      <c r="Y107" s="617"/>
      <c r="Z107" s="617"/>
      <c r="AA107" s="617"/>
      <c r="AB107" s="617"/>
      <c r="AC107" s="617"/>
      <c r="AD107" s="617"/>
      <c r="AE107" s="618"/>
      <c r="AF107" s="618"/>
      <c r="AG107" s="618"/>
    </row>
    <row r="108" spans="1:33" x14ac:dyDescent="0.25">
      <c r="A108" s="611" t="s">
        <v>138</v>
      </c>
      <c r="B108" s="612" t="s">
        <v>745</v>
      </c>
      <c r="C108" s="611"/>
      <c r="D108" s="614"/>
      <c r="E108" s="614"/>
      <c r="F108" s="621"/>
      <c r="G108" s="621"/>
      <c r="H108" s="621"/>
      <c r="I108" s="621"/>
      <c r="J108" s="621"/>
      <c r="K108" s="620"/>
      <c r="L108" s="617"/>
      <c r="M108" s="617"/>
      <c r="N108" s="617"/>
      <c r="O108" s="617"/>
      <c r="P108" s="617"/>
      <c r="Q108" s="617"/>
      <c r="R108" s="617"/>
      <c r="S108" s="617"/>
      <c r="T108" s="617"/>
      <c r="U108" s="617"/>
      <c r="V108" s="617"/>
      <c r="W108" s="617"/>
      <c r="X108" s="617"/>
      <c r="Y108" s="617"/>
      <c r="Z108" s="617"/>
      <c r="AA108" s="617"/>
      <c r="AB108" s="617"/>
      <c r="AC108" s="617"/>
      <c r="AD108" s="617"/>
      <c r="AE108" s="618"/>
      <c r="AF108" s="618"/>
      <c r="AG108" s="618"/>
    </row>
    <row r="109" spans="1:33" x14ac:dyDescent="0.25">
      <c r="A109" s="611" t="s">
        <v>138</v>
      </c>
      <c r="B109" s="612" t="s">
        <v>746</v>
      </c>
      <c r="C109" s="611"/>
      <c r="D109" s="614"/>
      <c r="E109" s="614"/>
      <c r="F109" s="621"/>
      <c r="G109" s="621"/>
      <c r="H109" s="621"/>
      <c r="I109" s="621"/>
      <c r="J109" s="621"/>
      <c r="K109" s="621"/>
      <c r="L109" s="622"/>
      <c r="M109" s="617"/>
      <c r="N109" s="617"/>
      <c r="O109" s="617"/>
      <c r="P109" s="617"/>
      <c r="Q109" s="617"/>
      <c r="R109" s="617"/>
      <c r="S109" s="617"/>
      <c r="T109" s="617"/>
      <c r="U109" s="617"/>
      <c r="V109" s="617"/>
      <c r="W109" s="617"/>
      <c r="X109" s="617"/>
      <c r="Y109" s="617"/>
      <c r="Z109" s="617"/>
      <c r="AA109" s="617"/>
      <c r="AB109" s="617"/>
      <c r="AC109" s="617"/>
      <c r="AD109" s="617"/>
      <c r="AE109" s="618"/>
      <c r="AF109" s="618"/>
      <c r="AG109" s="618"/>
    </row>
    <row r="110" spans="1:33" x14ac:dyDescent="0.25">
      <c r="A110" s="611" t="s">
        <v>138</v>
      </c>
      <c r="B110" s="612" t="s">
        <v>747</v>
      </c>
      <c r="C110" s="611"/>
      <c r="D110" s="614"/>
      <c r="E110" s="614"/>
      <c r="F110" s="621"/>
      <c r="G110" s="621"/>
      <c r="H110" s="621"/>
      <c r="I110" s="621"/>
      <c r="J110" s="621"/>
      <c r="K110" s="621"/>
      <c r="L110" s="623"/>
      <c r="M110" s="622"/>
      <c r="N110" s="617"/>
      <c r="O110" s="617"/>
      <c r="P110" s="617"/>
      <c r="Q110" s="617"/>
      <c r="R110" s="617"/>
      <c r="S110" s="617"/>
      <c r="T110" s="617"/>
      <c r="U110" s="617"/>
      <c r="V110" s="617"/>
      <c r="W110" s="617"/>
      <c r="X110" s="617"/>
      <c r="Y110" s="617"/>
      <c r="Z110" s="617"/>
      <c r="AA110" s="617"/>
      <c r="AB110" s="617"/>
      <c r="AC110" s="617"/>
      <c r="AD110" s="617"/>
      <c r="AE110" s="618"/>
      <c r="AF110" s="618"/>
      <c r="AG110" s="618"/>
    </row>
    <row r="111" spans="1:33" x14ac:dyDescent="0.25">
      <c r="A111" s="611" t="s">
        <v>138</v>
      </c>
      <c r="B111" s="612" t="s">
        <v>759</v>
      </c>
      <c r="C111" s="611"/>
      <c r="D111" s="614"/>
      <c r="E111" s="614"/>
      <c r="F111" s="621"/>
      <c r="G111" s="621"/>
      <c r="H111" s="621"/>
      <c r="I111" s="621"/>
      <c r="J111" s="621"/>
      <c r="K111" s="621"/>
      <c r="L111" s="623"/>
      <c r="M111" s="623"/>
      <c r="N111" s="622"/>
      <c r="O111" s="617"/>
      <c r="P111" s="617"/>
      <c r="Q111" s="617"/>
      <c r="R111" s="617"/>
      <c r="S111" s="617"/>
      <c r="T111" s="617"/>
      <c r="U111" s="617"/>
      <c r="V111" s="617"/>
      <c r="W111" s="617"/>
      <c r="X111" s="617"/>
      <c r="Y111" s="617"/>
      <c r="Z111" s="617"/>
      <c r="AA111" s="617"/>
      <c r="AB111" s="617"/>
      <c r="AC111" s="617"/>
      <c r="AD111" s="617"/>
      <c r="AE111" s="618"/>
      <c r="AF111" s="618"/>
      <c r="AG111" s="618"/>
    </row>
    <row r="112" spans="1:33" x14ac:dyDescent="0.25">
      <c r="A112" s="611" t="s">
        <v>138</v>
      </c>
      <c r="B112" s="612" t="s">
        <v>748</v>
      </c>
      <c r="C112" s="611"/>
      <c r="D112" s="614"/>
      <c r="E112" s="614"/>
      <c r="F112" s="621"/>
      <c r="G112" s="621"/>
      <c r="H112" s="621"/>
      <c r="I112" s="621"/>
      <c r="J112" s="621"/>
      <c r="K112" s="621"/>
      <c r="L112" s="623"/>
      <c r="M112" s="623"/>
      <c r="N112" s="623"/>
      <c r="O112" s="622"/>
      <c r="P112" s="617"/>
      <c r="Q112" s="617"/>
      <c r="R112" s="617"/>
      <c r="S112" s="617"/>
      <c r="T112" s="617"/>
      <c r="U112" s="617"/>
      <c r="V112" s="617"/>
      <c r="W112" s="617"/>
      <c r="X112" s="617"/>
      <c r="Y112" s="617"/>
      <c r="Z112" s="617"/>
      <c r="AA112" s="617"/>
      <c r="AB112" s="617"/>
      <c r="AC112" s="617"/>
      <c r="AD112" s="617"/>
      <c r="AE112" s="618"/>
      <c r="AF112" s="618"/>
      <c r="AG112" s="618"/>
    </row>
    <row r="113" spans="1:33" x14ac:dyDescent="0.25">
      <c r="A113" s="611" t="s">
        <v>138</v>
      </c>
      <c r="B113" s="612" t="s">
        <v>749</v>
      </c>
      <c r="C113" s="611"/>
      <c r="D113" s="614"/>
      <c r="E113" s="614"/>
      <c r="F113" s="621"/>
      <c r="G113" s="621"/>
      <c r="H113" s="621"/>
      <c r="I113" s="621"/>
      <c r="J113" s="621"/>
      <c r="K113" s="621"/>
      <c r="L113" s="623"/>
      <c r="M113" s="623"/>
      <c r="N113" s="623"/>
      <c r="O113" s="623"/>
      <c r="P113" s="622"/>
      <c r="Q113" s="617"/>
      <c r="R113" s="617"/>
      <c r="S113" s="617"/>
      <c r="T113" s="617"/>
      <c r="U113" s="617"/>
      <c r="V113" s="617"/>
      <c r="W113" s="617"/>
      <c r="X113" s="617"/>
      <c r="Y113" s="617"/>
      <c r="Z113" s="617"/>
      <c r="AA113" s="617"/>
      <c r="AB113" s="617"/>
      <c r="AC113" s="617"/>
      <c r="AD113" s="617"/>
      <c r="AE113" s="618"/>
      <c r="AF113" s="618"/>
      <c r="AG113" s="618"/>
    </row>
    <row r="114" spans="1:33" x14ac:dyDescent="0.25">
      <c r="A114" s="611" t="s">
        <v>138</v>
      </c>
      <c r="B114" s="612" t="s">
        <v>760</v>
      </c>
      <c r="C114" s="618"/>
      <c r="D114" s="614"/>
      <c r="E114" s="614"/>
      <c r="F114" s="621"/>
      <c r="G114" s="621"/>
      <c r="H114" s="621"/>
      <c r="I114" s="621"/>
      <c r="J114" s="621"/>
      <c r="K114" s="621"/>
      <c r="L114" s="623"/>
      <c r="M114" s="623"/>
      <c r="N114" s="623"/>
      <c r="O114" s="623"/>
      <c r="P114" s="623"/>
      <c r="Q114" s="622"/>
      <c r="R114" s="617"/>
      <c r="S114" s="617"/>
      <c r="T114" s="617"/>
      <c r="U114" s="617"/>
      <c r="V114" s="617"/>
      <c r="W114" s="617"/>
      <c r="X114" s="617"/>
      <c r="Y114" s="617"/>
      <c r="Z114" s="617"/>
      <c r="AA114" s="617"/>
      <c r="AB114" s="617"/>
      <c r="AC114" s="617"/>
      <c r="AD114" s="617"/>
      <c r="AE114" s="618"/>
      <c r="AF114" s="618"/>
      <c r="AG114" s="618"/>
    </row>
    <row r="115" spans="1:33" x14ac:dyDescent="0.25">
      <c r="A115" s="611" t="s">
        <v>138</v>
      </c>
      <c r="B115" s="612" t="s">
        <v>751</v>
      </c>
      <c r="C115" s="618"/>
      <c r="D115" s="614"/>
      <c r="E115" s="614"/>
      <c r="F115" s="621"/>
      <c r="G115" s="621"/>
      <c r="H115" s="621"/>
      <c r="I115" s="621"/>
      <c r="J115" s="621"/>
      <c r="K115" s="621"/>
      <c r="L115" s="623"/>
      <c r="M115" s="623"/>
      <c r="N115" s="623"/>
      <c r="O115" s="623"/>
      <c r="P115" s="623"/>
      <c r="Q115" s="623"/>
      <c r="R115" s="622"/>
      <c r="T115" s="618"/>
      <c r="U115" s="618"/>
      <c r="V115" s="618"/>
      <c r="W115" s="617"/>
      <c r="X115" s="617"/>
      <c r="Y115" s="617"/>
      <c r="Z115" s="617"/>
      <c r="AA115" s="617"/>
      <c r="AB115" s="617"/>
      <c r="AC115" s="617"/>
      <c r="AD115" s="617"/>
      <c r="AE115" s="618"/>
      <c r="AF115" s="618"/>
      <c r="AG115" s="618"/>
    </row>
    <row r="116" spans="1:33" x14ac:dyDescent="0.25">
      <c r="A116" s="611" t="s">
        <v>138</v>
      </c>
      <c r="B116" s="612" t="s">
        <v>752</v>
      </c>
      <c r="C116" s="618"/>
      <c r="D116" s="614"/>
      <c r="E116" s="614"/>
      <c r="F116" s="621"/>
      <c r="G116" s="621"/>
      <c r="H116" s="621"/>
      <c r="I116" s="621"/>
      <c r="J116" s="621"/>
      <c r="K116" s="621"/>
      <c r="L116" s="623"/>
      <c r="M116" s="623"/>
      <c r="N116" s="623"/>
      <c r="O116" s="623"/>
      <c r="P116" s="623"/>
      <c r="Q116" s="623"/>
      <c r="R116" s="623"/>
      <c r="S116" s="622"/>
      <c r="T116" s="618"/>
      <c r="U116" s="618"/>
      <c r="V116" s="618"/>
      <c r="W116" s="617"/>
      <c r="X116" s="617"/>
      <c r="Y116" s="617"/>
      <c r="Z116" s="617"/>
      <c r="AA116" s="617"/>
      <c r="AB116" s="617"/>
      <c r="AC116" s="617"/>
      <c r="AD116" s="617"/>
      <c r="AE116" s="618"/>
      <c r="AF116" s="618"/>
      <c r="AG116" s="618"/>
    </row>
    <row r="117" spans="1:33" x14ac:dyDescent="0.25">
      <c r="A117" s="611" t="s">
        <v>138</v>
      </c>
      <c r="B117" s="612" t="s">
        <v>753</v>
      </c>
      <c r="C117" s="618"/>
      <c r="D117" s="614"/>
      <c r="E117" s="614"/>
      <c r="F117" s="621"/>
      <c r="G117" s="621"/>
      <c r="H117" s="621"/>
      <c r="I117" s="621"/>
      <c r="J117" s="621"/>
      <c r="K117" s="621"/>
      <c r="L117" s="623"/>
      <c r="M117" s="623"/>
      <c r="N117" s="623"/>
      <c r="O117" s="623"/>
      <c r="P117" s="623"/>
      <c r="Q117" s="623"/>
      <c r="R117" s="623"/>
      <c r="S117" s="623"/>
      <c r="T117" s="622"/>
      <c r="U117" s="618"/>
      <c r="V117" s="618"/>
      <c r="W117" s="617"/>
      <c r="X117" s="617"/>
      <c r="Y117" s="617"/>
      <c r="Z117" s="617"/>
      <c r="AA117" s="617"/>
      <c r="AB117" s="617"/>
      <c r="AC117" s="617"/>
      <c r="AD117" s="617"/>
      <c r="AE117" s="618"/>
      <c r="AF117" s="618"/>
      <c r="AG117" s="618"/>
    </row>
    <row r="118" spans="1:33" x14ac:dyDescent="0.25">
      <c r="A118" s="611" t="s">
        <v>138</v>
      </c>
      <c r="B118" s="612" t="s">
        <v>754</v>
      </c>
      <c r="C118" s="618"/>
      <c r="D118" s="614"/>
      <c r="E118" s="614"/>
      <c r="F118" s="621"/>
      <c r="G118" s="621"/>
      <c r="H118" s="621"/>
      <c r="I118" s="621"/>
      <c r="J118" s="621"/>
      <c r="K118" s="621"/>
      <c r="L118" s="623"/>
      <c r="M118" s="623"/>
      <c r="N118" s="623"/>
      <c r="O118" s="623"/>
      <c r="P118" s="623"/>
      <c r="Q118" s="623"/>
      <c r="R118" s="623"/>
      <c r="S118" s="623"/>
      <c r="T118" s="623"/>
      <c r="U118" s="622"/>
      <c r="V118" s="618"/>
      <c r="W118" s="617"/>
      <c r="X118" s="617"/>
      <c r="Y118" s="617"/>
      <c r="Z118" s="617"/>
      <c r="AA118" s="617"/>
      <c r="AB118" s="617"/>
      <c r="AC118" s="617"/>
      <c r="AD118" s="617"/>
      <c r="AE118" s="618"/>
      <c r="AF118" s="618"/>
      <c r="AG118" s="618"/>
    </row>
    <row r="119" spans="1:33" x14ac:dyDescent="0.25">
      <c r="A119" s="611" t="s">
        <v>138</v>
      </c>
      <c r="B119" s="612" t="s">
        <v>755</v>
      </c>
      <c r="C119" s="618"/>
      <c r="D119" s="614"/>
      <c r="E119" s="614"/>
      <c r="F119" s="621"/>
      <c r="G119" s="621"/>
      <c r="H119" s="621"/>
      <c r="I119" s="621"/>
      <c r="J119" s="621"/>
      <c r="K119" s="621"/>
      <c r="L119" s="623"/>
      <c r="M119" s="623"/>
      <c r="N119" s="623"/>
      <c r="O119" s="623"/>
      <c r="P119" s="623"/>
      <c r="Q119" s="623"/>
      <c r="R119" s="623"/>
      <c r="S119" s="623"/>
      <c r="T119" s="623"/>
      <c r="U119" s="623"/>
      <c r="V119" s="622"/>
      <c r="W119" s="617"/>
      <c r="X119" s="617"/>
      <c r="Y119" s="617"/>
      <c r="Z119" s="617"/>
      <c r="AA119" s="617"/>
      <c r="AB119" s="617"/>
      <c r="AC119" s="617"/>
      <c r="AD119" s="617"/>
      <c r="AE119" s="618"/>
      <c r="AF119" s="618"/>
      <c r="AG119" s="618"/>
    </row>
    <row r="120" spans="1:33" x14ac:dyDescent="0.25">
      <c r="A120" s="611" t="s">
        <v>138</v>
      </c>
      <c r="B120" s="612" t="s">
        <v>756</v>
      </c>
      <c r="C120" s="618"/>
      <c r="D120" s="614"/>
      <c r="E120" s="614"/>
      <c r="F120" s="621"/>
      <c r="G120" s="621"/>
      <c r="H120" s="621"/>
      <c r="I120" s="621"/>
      <c r="J120" s="621"/>
      <c r="K120" s="621"/>
      <c r="L120" s="623"/>
      <c r="M120" s="623"/>
      <c r="N120" s="623"/>
      <c r="O120" s="623"/>
      <c r="P120" s="623"/>
      <c r="Q120" s="623"/>
      <c r="R120" s="623"/>
      <c r="S120" s="623"/>
      <c r="T120" s="623"/>
      <c r="U120" s="623"/>
      <c r="V120" s="623"/>
      <c r="W120" s="622"/>
      <c r="X120" s="617"/>
      <c r="Y120" s="617"/>
      <c r="Z120" s="617"/>
      <c r="AA120" s="617"/>
      <c r="AB120" s="617"/>
      <c r="AC120" s="617"/>
      <c r="AD120" s="617"/>
      <c r="AE120" s="618"/>
      <c r="AF120" s="618"/>
      <c r="AG120" s="618"/>
    </row>
    <row r="121" spans="1:33" x14ac:dyDescent="0.25">
      <c r="A121" s="611" t="s">
        <v>138</v>
      </c>
      <c r="B121" s="612" t="s">
        <v>757</v>
      </c>
      <c r="C121" s="618"/>
      <c r="D121" s="614"/>
      <c r="E121" s="614"/>
      <c r="F121" s="621"/>
      <c r="G121" s="621"/>
      <c r="H121" s="621"/>
      <c r="I121" s="621"/>
      <c r="J121" s="621"/>
      <c r="K121" s="621"/>
      <c r="L121" s="623"/>
      <c r="M121" s="623"/>
      <c r="N121" s="623"/>
      <c r="O121" s="623"/>
      <c r="P121" s="623"/>
      <c r="Q121" s="623"/>
      <c r="R121" s="623"/>
      <c r="S121" s="623"/>
      <c r="T121" s="623"/>
      <c r="U121" s="623"/>
      <c r="V121" s="623"/>
      <c r="W121" s="623"/>
      <c r="X121" s="622"/>
      <c r="Y121" s="617"/>
      <c r="Z121" s="617"/>
      <c r="AA121" s="617"/>
      <c r="AB121" s="617"/>
      <c r="AC121" s="617"/>
      <c r="AD121" s="617"/>
      <c r="AE121" s="618"/>
      <c r="AF121" s="618"/>
      <c r="AG121" s="618"/>
    </row>
    <row r="122" spans="1:33" x14ac:dyDescent="0.25">
      <c r="A122" s="611" t="s">
        <v>138</v>
      </c>
      <c r="B122" s="612" t="s">
        <v>761</v>
      </c>
      <c r="C122" s="618"/>
      <c r="D122" s="614"/>
      <c r="E122" s="614"/>
      <c r="F122" s="621"/>
      <c r="G122" s="621"/>
      <c r="H122" s="621"/>
      <c r="I122" s="621"/>
      <c r="J122" s="621"/>
      <c r="K122" s="621"/>
      <c r="L122" s="623"/>
      <c r="M122" s="623"/>
      <c r="N122" s="623"/>
      <c r="O122" s="623"/>
      <c r="P122" s="623"/>
      <c r="Q122" s="623"/>
      <c r="R122" s="623"/>
      <c r="S122" s="623"/>
      <c r="T122" s="623"/>
      <c r="U122" s="623"/>
      <c r="V122" s="623"/>
      <c r="W122" s="623"/>
      <c r="X122" s="623"/>
      <c r="Y122" s="622"/>
      <c r="Z122" s="617"/>
      <c r="AA122" s="617"/>
      <c r="AB122" s="617"/>
      <c r="AC122" s="617"/>
      <c r="AD122" s="617"/>
      <c r="AE122" s="618"/>
      <c r="AF122" s="618"/>
      <c r="AG122" s="618"/>
    </row>
    <row r="123" spans="1:33" x14ac:dyDescent="0.25">
      <c r="A123" s="611" t="s">
        <v>138</v>
      </c>
      <c r="B123" s="612" t="s">
        <v>762</v>
      </c>
      <c r="C123" s="618"/>
      <c r="D123" s="614"/>
      <c r="E123" s="614"/>
      <c r="F123" s="621"/>
      <c r="G123" s="621"/>
      <c r="H123" s="621"/>
      <c r="I123" s="621"/>
      <c r="J123" s="621"/>
      <c r="K123" s="621"/>
      <c r="L123" s="623"/>
      <c r="M123" s="623"/>
      <c r="N123" s="623"/>
      <c r="O123" s="623"/>
      <c r="P123" s="623"/>
      <c r="Q123" s="623"/>
      <c r="R123" s="623"/>
      <c r="S123" s="623"/>
      <c r="T123" s="623"/>
      <c r="U123" s="623"/>
      <c r="V123" s="623"/>
      <c r="W123" s="623"/>
      <c r="X123" s="623"/>
      <c r="Y123" s="623"/>
      <c r="Z123" s="622"/>
      <c r="AA123" s="617"/>
      <c r="AB123" s="617"/>
      <c r="AC123" s="617"/>
      <c r="AD123" s="617"/>
      <c r="AE123" s="618"/>
      <c r="AF123" s="618"/>
      <c r="AG123" s="618"/>
    </row>
    <row r="124" spans="1:33" x14ac:dyDescent="0.25">
      <c r="A124" s="611" t="s">
        <v>138</v>
      </c>
      <c r="B124" s="612" t="s">
        <v>763</v>
      </c>
      <c r="C124" s="618"/>
      <c r="D124" s="614"/>
      <c r="E124" s="614"/>
      <c r="F124" s="621"/>
      <c r="G124" s="621"/>
      <c r="H124" s="621"/>
      <c r="I124" s="621"/>
      <c r="J124" s="621"/>
      <c r="K124" s="621"/>
      <c r="L124" s="623"/>
      <c r="M124" s="623"/>
      <c r="N124" s="623"/>
      <c r="O124" s="623"/>
      <c r="P124" s="623"/>
      <c r="Q124" s="623"/>
      <c r="R124" s="623"/>
      <c r="S124" s="623"/>
      <c r="T124" s="623"/>
      <c r="U124" s="623"/>
      <c r="V124" s="623"/>
      <c r="W124" s="623"/>
      <c r="X124" s="623"/>
      <c r="Y124" s="623"/>
      <c r="Z124" s="623"/>
      <c r="AA124" s="622"/>
      <c r="AB124" s="617"/>
      <c r="AC124" s="617"/>
      <c r="AD124" s="617"/>
      <c r="AE124" s="618"/>
      <c r="AF124" s="618"/>
      <c r="AG124" s="618"/>
    </row>
    <row r="125" spans="1:33" x14ac:dyDescent="0.25">
      <c r="A125" s="611" t="s">
        <v>138</v>
      </c>
      <c r="B125" s="612" t="s">
        <v>764</v>
      </c>
      <c r="C125" s="618"/>
      <c r="D125" s="614"/>
      <c r="E125" s="614"/>
      <c r="F125" s="621"/>
      <c r="G125" s="621"/>
      <c r="H125" s="621"/>
      <c r="I125" s="621"/>
      <c r="J125" s="621"/>
      <c r="K125" s="621"/>
      <c r="L125" s="623"/>
      <c r="M125" s="623"/>
      <c r="N125" s="623"/>
      <c r="O125" s="623"/>
      <c r="P125" s="623"/>
      <c r="Q125" s="623"/>
      <c r="R125" s="623"/>
      <c r="S125" s="623"/>
      <c r="T125" s="623"/>
      <c r="U125" s="623"/>
      <c r="V125" s="623"/>
      <c r="W125" s="623"/>
      <c r="X125" s="623"/>
      <c r="Y125" s="623"/>
      <c r="Z125" s="623"/>
      <c r="AA125" s="623"/>
      <c r="AB125" s="622"/>
      <c r="AC125" s="617"/>
      <c r="AD125" s="617"/>
      <c r="AE125" s="618"/>
      <c r="AF125" s="618"/>
      <c r="AG125" s="618"/>
    </row>
    <row r="126" spans="1:33" x14ac:dyDescent="0.25">
      <c r="A126" s="611" t="s">
        <v>138</v>
      </c>
      <c r="B126" s="612" t="s">
        <v>765</v>
      </c>
      <c r="C126" s="618"/>
      <c r="D126" s="614"/>
      <c r="E126" s="614"/>
      <c r="F126" s="621"/>
      <c r="G126" s="621"/>
      <c r="H126" s="621"/>
      <c r="I126" s="621"/>
      <c r="J126" s="621"/>
      <c r="K126" s="621"/>
      <c r="L126" s="623"/>
      <c r="M126" s="623"/>
      <c r="N126" s="623"/>
      <c r="O126" s="623"/>
      <c r="P126" s="623"/>
      <c r="Q126" s="623"/>
      <c r="R126" s="623"/>
      <c r="S126" s="623"/>
      <c r="T126" s="623"/>
      <c r="U126" s="623"/>
      <c r="V126" s="623"/>
      <c r="W126" s="623"/>
      <c r="X126" s="623"/>
      <c r="Y126" s="623"/>
      <c r="Z126" s="623"/>
      <c r="AA126" s="623"/>
      <c r="AB126" s="623"/>
      <c r="AC126" s="622"/>
      <c r="AD126" s="617"/>
      <c r="AE126" s="618"/>
      <c r="AF126" s="618"/>
      <c r="AG126" s="618"/>
    </row>
    <row r="127" spans="1:33" x14ac:dyDescent="0.25">
      <c r="A127" s="611" t="s">
        <v>138</v>
      </c>
      <c r="B127" s="612" t="s">
        <v>766</v>
      </c>
      <c r="C127" s="618"/>
      <c r="D127" s="614"/>
      <c r="E127" s="614"/>
      <c r="F127" s="621"/>
      <c r="G127" s="621"/>
      <c r="H127" s="621"/>
      <c r="I127" s="621"/>
      <c r="J127" s="621"/>
      <c r="K127" s="621"/>
      <c r="L127" s="623"/>
      <c r="M127" s="623"/>
      <c r="N127" s="623"/>
      <c r="O127" s="623"/>
      <c r="P127" s="623"/>
      <c r="Q127" s="623"/>
      <c r="R127" s="623"/>
      <c r="S127" s="623"/>
      <c r="T127" s="623"/>
      <c r="U127" s="623"/>
      <c r="V127" s="623"/>
      <c r="W127" s="623"/>
      <c r="X127" s="623"/>
      <c r="Y127" s="623"/>
      <c r="Z127" s="623"/>
      <c r="AA127" s="623"/>
      <c r="AB127" s="623"/>
      <c r="AC127" s="623"/>
      <c r="AD127" s="622"/>
      <c r="AE127" s="618"/>
      <c r="AF127" s="618"/>
      <c r="AG127" s="618"/>
    </row>
    <row r="128" spans="1:33" x14ac:dyDescent="0.25">
      <c r="A128" s="624"/>
      <c r="B128" s="625" t="s">
        <v>180</v>
      </c>
      <c r="C128" s="626"/>
      <c r="D128" s="626"/>
      <c r="E128" s="626"/>
      <c r="F128" s="626"/>
      <c r="G128" s="626"/>
      <c r="H128" s="626"/>
      <c r="I128" s="626"/>
      <c r="J128" s="626"/>
      <c r="K128" s="626"/>
      <c r="L128" s="626"/>
      <c r="M128" s="626"/>
      <c r="N128" s="626"/>
      <c r="O128" s="626"/>
      <c r="P128" s="626"/>
      <c r="Q128" s="626"/>
      <c r="R128" s="626"/>
      <c r="S128" s="626"/>
      <c r="T128" s="626"/>
      <c r="U128" s="626"/>
      <c r="V128" s="626"/>
      <c r="W128" s="626"/>
      <c r="X128" s="626"/>
      <c r="Y128" s="626"/>
      <c r="Z128" s="626"/>
      <c r="AA128" s="626"/>
      <c r="AB128" s="626"/>
      <c r="AC128" s="626"/>
      <c r="AD128" s="626"/>
      <c r="AE128" s="626"/>
      <c r="AF128" s="626"/>
      <c r="AG128" s="626"/>
    </row>
    <row r="129" spans="1:33" x14ac:dyDescent="0.25">
      <c r="A129" s="606"/>
      <c r="B129" s="644"/>
      <c r="C129" s="645"/>
      <c r="D129" s="645"/>
      <c r="E129" s="645"/>
      <c r="F129" s="645"/>
      <c r="G129" s="645"/>
      <c r="H129" s="645"/>
      <c r="I129" s="645"/>
      <c r="J129" s="645"/>
      <c r="K129" s="645"/>
      <c r="L129" s="645"/>
      <c r="M129" s="645"/>
      <c r="N129" s="645"/>
      <c r="O129" s="645"/>
      <c r="P129" s="645"/>
      <c r="Q129" s="645"/>
      <c r="R129" s="645"/>
      <c r="S129" s="645"/>
      <c r="T129" s="645"/>
      <c r="U129" s="645"/>
      <c r="V129" s="645"/>
      <c r="W129" s="645"/>
      <c r="X129" s="645"/>
      <c r="Y129" s="645"/>
      <c r="Z129" s="645"/>
      <c r="AA129" s="645"/>
      <c r="AB129" s="645"/>
      <c r="AC129" s="645"/>
      <c r="AD129" s="645"/>
      <c r="AE129" s="645"/>
      <c r="AF129" s="645"/>
      <c r="AG129" s="645"/>
    </row>
    <row r="130" spans="1:33" x14ac:dyDescent="0.25">
      <c r="A130" s="606"/>
      <c r="B130" s="644"/>
      <c r="C130" s="645"/>
      <c r="D130" s="645"/>
      <c r="E130" s="645"/>
      <c r="F130" s="645"/>
      <c r="G130" s="645"/>
      <c r="H130" s="645"/>
      <c r="I130" s="645"/>
      <c r="J130" s="645"/>
      <c r="K130" s="645"/>
      <c r="L130" s="645"/>
      <c r="M130" s="645"/>
      <c r="N130" s="645"/>
      <c r="O130" s="645"/>
      <c r="P130" s="645"/>
      <c r="Q130" s="645"/>
      <c r="R130" s="645"/>
      <c r="S130" s="645"/>
      <c r="T130" s="645"/>
      <c r="U130" s="645"/>
      <c r="V130" s="645"/>
      <c r="W130" s="645"/>
      <c r="X130" s="645"/>
      <c r="Y130" s="645"/>
      <c r="Z130" s="645"/>
      <c r="AA130" s="645"/>
      <c r="AB130" s="645"/>
      <c r="AC130" s="645"/>
      <c r="AD130" s="645"/>
      <c r="AE130" s="645"/>
      <c r="AF130" s="645"/>
      <c r="AG130" s="645"/>
    </row>
    <row r="131" spans="1:33" x14ac:dyDescent="0.25">
      <c r="B131" s="605" t="s">
        <v>271</v>
      </c>
      <c r="F131" s="606" t="s">
        <v>73</v>
      </c>
      <c r="G131" s="606"/>
      <c r="H131" s="606"/>
      <c r="I131" s="606"/>
      <c r="J131" s="606"/>
      <c r="K131" s="606"/>
    </row>
    <row r="132" spans="1:33" ht="26.4" x14ac:dyDescent="0.3">
      <c r="A132" s="607"/>
      <c r="B132" s="630" t="s">
        <v>696</v>
      </c>
      <c r="C132" s="1201" t="s">
        <v>767</v>
      </c>
      <c r="D132" s="1201" t="s">
        <v>734</v>
      </c>
      <c r="E132" s="1201" t="s">
        <v>735</v>
      </c>
      <c r="F132" s="1203" t="s">
        <v>736</v>
      </c>
      <c r="G132" s="1204"/>
      <c r="H132" s="1204"/>
      <c r="I132" s="1204"/>
      <c r="J132" s="1204"/>
      <c r="K132" s="1204"/>
      <c r="L132" s="1204"/>
      <c r="M132" s="1204"/>
      <c r="N132" s="1204"/>
      <c r="O132" s="1204"/>
      <c r="P132" s="1204"/>
      <c r="Q132" s="1204"/>
      <c r="R132" s="1204"/>
      <c r="S132" s="1204"/>
      <c r="T132" s="1204"/>
      <c r="U132" s="1204"/>
      <c r="V132" s="1204"/>
      <c r="W132" s="1204"/>
      <c r="X132" s="1204"/>
      <c r="Y132" s="1204"/>
      <c r="Z132" s="1204"/>
      <c r="AA132" s="1204"/>
      <c r="AB132" s="1204"/>
      <c r="AC132" s="1204"/>
      <c r="AD132" s="1205"/>
      <c r="AE132" s="608" t="s">
        <v>737</v>
      </c>
      <c r="AF132" s="608" t="s">
        <v>738</v>
      </c>
      <c r="AG132" s="608" t="s">
        <v>739</v>
      </c>
    </row>
    <row r="133" spans="1:33" x14ac:dyDescent="0.25">
      <c r="A133" s="607"/>
      <c r="B133" s="630"/>
      <c r="C133" s="1202"/>
      <c r="D133" s="1202"/>
      <c r="E133" s="1202"/>
      <c r="F133" s="609" t="s">
        <v>740</v>
      </c>
      <c r="G133" s="609" t="s">
        <v>741</v>
      </c>
      <c r="H133" s="609" t="s">
        <v>742</v>
      </c>
      <c r="I133" s="609" t="s">
        <v>743</v>
      </c>
      <c r="J133" s="609" t="s">
        <v>744</v>
      </c>
      <c r="K133" s="609" t="s">
        <v>745</v>
      </c>
      <c r="L133" s="610" t="s">
        <v>746</v>
      </c>
      <c r="M133" s="610" t="s">
        <v>747</v>
      </c>
      <c r="N133" s="610" t="s">
        <v>759</v>
      </c>
      <c r="O133" s="610" t="s">
        <v>748</v>
      </c>
      <c r="P133" s="610" t="s">
        <v>749</v>
      </c>
      <c r="Q133" s="610" t="s">
        <v>750</v>
      </c>
      <c r="R133" s="610" t="s">
        <v>751</v>
      </c>
      <c r="S133" s="610" t="s">
        <v>752</v>
      </c>
      <c r="T133" s="610" t="s">
        <v>753</v>
      </c>
      <c r="U133" s="610" t="s">
        <v>754</v>
      </c>
      <c r="V133" s="610" t="s">
        <v>755</v>
      </c>
      <c r="W133" s="610" t="s">
        <v>756</v>
      </c>
      <c r="X133" s="610" t="s">
        <v>757</v>
      </c>
      <c r="Y133" s="610" t="s">
        <v>77</v>
      </c>
      <c r="Z133" s="610" t="s">
        <v>87</v>
      </c>
      <c r="AA133" s="610" t="s">
        <v>88</v>
      </c>
      <c r="AB133" s="610" t="s">
        <v>89</v>
      </c>
      <c r="AC133" s="610" t="s">
        <v>90</v>
      </c>
      <c r="AD133" s="610" t="s">
        <v>91</v>
      </c>
      <c r="AE133" s="608"/>
      <c r="AF133" s="608"/>
      <c r="AG133" s="608"/>
    </row>
    <row r="134" spans="1:33" x14ac:dyDescent="0.25">
      <c r="A134" s="611" t="s">
        <v>758</v>
      </c>
      <c r="B134" s="612">
        <v>2005</v>
      </c>
      <c r="C134" s="613"/>
      <c r="D134" s="614"/>
      <c r="E134" s="614"/>
      <c r="F134" s="615"/>
      <c r="G134" s="615"/>
      <c r="H134" s="615"/>
      <c r="I134" s="615"/>
      <c r="J134" s="615"/>
      <c r="K134" s="616"/>
      <c r="L134" s="617"/>
      <c r="M134" s="617"/>
      <c r="N134" s="617"/>
      <c r="O134" s="617"/>
      <c r="P134" s="617"/>
      <c r="Q134" s="617"/>
      <c r="R134" s="617"/>
      <c r="S134" s="617"/>
      <c r="T134" s="617"/>
      <c r="U134" s="617"/>
      <c r="V134" s="617"/>
      <c r="W134" s="617"/>
      <c r="X134" s="617"/>
      <c r="Y134" s="617"/>
      <c r="Z134" s="617"/>
      <c r="AA134" s="617"/>
      <c r="AB134" s="617"/>
      <c r="AC134" s="617"/>
      <c r="AD134" s="617"/>
      <c r="AE134" s="618"/>
      <c r="AF134" s="618"/>
      <c r="AG134" s="618"/>
    </row>
    <row r="135" spans="1:33" x14ac:dyDescent="0.25">
      <c r="A135" s="611" t="s">
        <v>138</v>
      </c>
      <c r="B135" s="619" t="s">
        <v>740</v>
      </c>
      <c r="C135" s="613"/>
      <c r="D135" s="614"/>
      <c r="E135" s="614"/>
      <c r="F135" s="620"/>
      <c r="G135" s="616"/>
      <c r="H135" s="616"/>
      <c r="I135" s="616"/>
      <c r="J135" s="616"/>
      <c r="K135" s="616"/>
      <c r="L135" s="617"/>
      <c r="M135" s="617"/>
      <c r="N135" s="617"/>
      <c r="O135" s="617"/>
      <c r="P135" s="617"/>
      <c r="Q135" s="617"/>
      <c r="R135" s="617"/>
      <c r="S135" s="617"/>
      <c r="T135" s="617"/>
      <c r="U135" s="617"/>
      <c r="V135" s="617"/>
      <c r="W135" s="617"/>
      <c r="X135" s="617"/>
      <c r="Y135" s="617"/>
      <c r="Z135" s="617"/>
      <c r="AA135" s="617"/>
      <c r="AB135" s="617"/>
      <c r="AC135" s="617"/>
      <c r="AD135" s="617"/>
      <c r="AE135" s="618"/>
      <c r="AF135" s="618"/>
      <c r="AG135" s="618"/>
    </row>
    <row r="136" spans="1:33" x14ac:dyDescent="0.25">
      <c r="A136" s="611" t="s">
        <v>138</v>
      </c>
      <c r="B136" s="619" t="s">
        <v>741</v>
      </c>
      <c r="C136" s="613"/>
      <c r="D136" s="614"/>
      <c r="E136" s="614"/>
      <c r="F136" s="621"/>
      <c r="G136" s="620"/>
      <c r="H136" s="616"/>
      <c r="I136" s="616"/>
      <c r="J136" s="616"/>
      <c r="K136" s="616"/>
      <c r="L136" s="617"/>
      <c r="M136" s="617"/>
      <c r="N136" s="617"/>
      <c r="O136" s="617"/>
      <c r="P136" s="617"/>
      <c r="Q136" s="617"/>
      <c r="R136" s="617"/>
      <c r="S136" s="617"/>
      <c r="T136" s="617"/>
      <c r="U136" s="617"/>
      <c r="V136" s="617"/>
      <c r="W136" s="617"/>
      <c r="X136" s="617"/>
      <c r="Y136" s="617"/>
      <c r="Z136" s="617"/>
      <c r="AA136" s="617"/>
      <c r="AB136" s="617"/>
      <c r="AC136" s="617"/>
      <c r="AD136" s="617"/>
      <c r="AE136" s="618"/>
      <c r="AF136" s="618"/>
      <c r="AG136" s="618"/>
    </row>
    <row r="137" spans="1:33" x14ac:dyDescent="0.25">
      <c r="A137" s="611" t="s">
        <v>138</v>
      </c>
      <c r="B137" s="619" t="s">
        <v>742</v>
      </c>
      <c r="C137" s="613"/>
      <c r="D137" s="614"/>
      <c r="E137" s="614"/>
      <c r="F137" s="621"/>
      <c r="G137" s="621"/>
      <c r="H137" s="620"/>
      <c r="I137" s="616"/>
      <c r="J137" s="616"/>
      <c r="K137" s="616"/>
      <c r="L137" s="617"/>
      <c r="M137" s="617"/>
      <c r="N137" s="617"/>
      <c r="O137" s="617"/>
      <c r="P137" s="617"/>
      <c r="Q137" s="617"/>
      <c r="R137" s="617"/>
      <c r="S137" s="617"/>
      <c r="T137" s="617"/>
      <c r="U137" s="617"/>
      <c r="V137" s="617"/>
      <c r="W137" s="617"/>
      <c r="X137" s="617"/>
      <c r="Y137" s="617"/>
      <c r="Z137" s="617"/>
      <c r="AA137" s="617"/>
      <c r="AB137" s="617"/>
      <c r="AC137" s="617"/>
      <c r="AD137" s="617"/>
      <c r="AE137" s="618"/>
      <c r="AF137" s="618"/>
      <c r="AG137" s="618"/>
    </row>
    <row r="138" spans="1:33" x14ac:dyDescent="0.25">
      <c r="A138" s="611" t="s">
        <v>138</v>
      </c>
      <c r="B138" s="619" t="s">
        <v>743</v>
      </c>
      <c r="C138" s="613"/>
      <c r="D138" s="614"/>
      <c r="E138" s="614"/>
      <c r="F138" s="621"/>
      <c r="G138" s="621"/>
      <c r="H138" s="621"/>
      <c r="I138" s="620"/>
      <c r="J138" s="616"/>
      <c r="K138" s="616"/>
      <c r="L138" s="617"/>
      <c r="M138" s="617"/>
      <c r="N138" s="617"/>
      <c r="O138" s="617"/>
      <c r="P138" s="617"/>
      <c r="Q138" s="617"/>
      <c r="R138" s="617"/>
      <c r="S138" s="617"/>
      <c r="T138" s="617"/>
      <c r="U138" s="617"/>
      <c r="V138" s="617"/>
      <c r="W138" s="617"/>
      <c r="X138" s="617"/>
      <c r="Y138" s="617"/>
      <c r="Z138" s="617"/>
      <c r="AA138" s="617"/>
      <c r="AB138" s="617"/>
      <c r="AC138" s="617"/>
      <c r="AD138" s="617"/>
      <c r="AE138" s="618"/>
      <c r="AF138" s="618"/>
      <c r="AG138" s="618"/>
    </row>
    <row r="139" spans="1:33" x14ac:dyDescent="0.25">
      <c r="A139" s="611" t="s">
        <v>138</v>
      </c>
      <c r="B139" s="619" t="s">
        <v>744</v>
      </c>
      <c r="C139" s="613"/>
      <c r="D139" s="614"/>
      <c r="E139" s="614"/>
      <c r="F139" s="621"/>
      <c r="G139" s="621"/>
      <c r="H139" s="621"/>
      <c r="I139" s="621"/>
      <c r="J139" s="620"/>
      <c r="K139" s="616"/>
      <c r="L139" s="617"/>
      <c r="M139" s="617"/>
      <c r="N139" s="617"/>
      <c r="O139" s="617"/>
      <c r="P139" s="617"/>
      <c r="Q139" s="617"/>
      <c r="R139" s="617"/>
      <c r="S139" s="617"/>
      <c r="T139" s="617"/>
      <c r="U139" s="617"/>
      <c r="V139" s="617"/>
      <c r="W139" s="617"/>
      <c r="X139" s="617"/>
      <c r="Y139" s="617"/>
      <c r="Z139" s="617"/>
      <c r="AA139" s="617"/>
      <c r="AB139" s="617"/>
      <c r="AC139" s="617"/>
      <c r="AD139" s="617"/>
      <c r="AE139" s="618"/>
      <c r="AF139" s="618"/>
      <c r="AG139" s="618"/>
    </row>
    <row r="140" spans="1:33" x14ac:dyDescent="0.25">
      <c r="A140" s="611" t="s">
        <v>138</v>
      </c>
      <c r="B140" s="612" t="s">
        <v>745</v>
      </c>
      <c r="C140" s="611"/>
      <c r="D140" s="614"/>
      <c r="E140" s="614"/>
      <c r="F140" s="621"/>
      <c r="G140" s="621"/>
      <c r="H140" s="621"/>
      <c r="I140" s="621"/>
      <c r="J140" s="621"/>
      <c r="K140" s="620"/>
      <c r="L140" s="617"/>
      <c r="M140" s="617"/>
      <c r="N140" s="617"/>
      <c r="O140" s="617"/>
      <c r="P140" s="617"/>
      <c r="Q140" s="617"/>
      <c r="R140" s="617"/>
      <c r="S140" s="617"/>
      <c r="T140" s="617"/>
      <c r="U140" s="617"/>
      <c r="V140" s="617"/>
      <c r="W140" s="617"/>
      <c r="X140" s="617"/>
      <c r="Y140" s="617"/>
      <c r="Z140" s="617"/>
      <c r="AA140" s="617"/>
      <c r="AB140" s="617"/>
      <c r="AC140" s="617"/>
      <c r="AD140" s="617"/>
      <c r="AE140" s="618"/>
      <c r="AF140" s="618"/>
      <c r="AG140" s="618"/>
    </row>
    <row r="141" spans="1:33" x14ac:dyDescent="0.25">
      <c r="A141" s="611" t="s">
        <v>138</v>
      </c>
      <c r="B141" s="612" t="s">
        <v>746</v>
      </c>
      <c r="C141" s="611"/>
      <c r="D141" s="614"/>
      <c r="E141" s="614"/>
      <c r="F141" s="621"/>
      <c r="G141" s="621"/>
      <c r="H141" s="621"/>
      <c r="I141" s="621"/>
      <c r="J141" s="621"/>
      <c r="K141" s="621"/>
      <c r="L141" s="622"/>
      <c r="M141" s="617"/>
      <c r="N141" s="617"/>
      <c r="O141" s="617"/>
      <c r="P141" s="617"/>
      <c r="Q141" s="617"/>
      <c r="R141" s="617"/>
      <c r="S141" s="617"/>
      <c r="T141" s="617"/>
      <c r="U141" s="617"/>
      <c r="V141" s="617"/>
      <c r="W141" s="617"/>
      <c r="X141" s="617"/>
      <c r="Y141" s="617"/>
      <c r="Z141" s="617"/>
      <c r="AA141" s="617"/>
      <c r="AB141" s="617"/>
      <c r="AC141" s="617"/>
      <c r="AD141" s="617"/>
      <c r="AE141" s="618"/>
      <c r="AF141" s="618"/>
      <c r="AG141" s="618"/>
    </row>
    <row r="142" spans="1:33" x14ac:dyDescent="0.25">
      <c r="A142" s="611" t="s">
        <v>138</v>
      </c>
      <c r="B142" s="612" t="s">
        <v>747</v>
      </c>
      <c r="C142" s="611"/>
      <c r="D142" s="614"/>
      <c r="E142" s="614"/>
      <c r="F142" s="621"/>
      <c r="G142" s="621"/>
      <c r="H142" s="621"/>
      <c r="I142" s="621"/>
      <c r="J142" s="621"/>
      <c r="K142" s="621"/>
      <c r="L142" s="623"/>
      <c r="M142" s="622"/>
      <c r="N142" s="617"/>
      <c r="O142" s="617"/>
      <c r="P142" s="617"/>
      <c r="Q142" s="617"/>
      <c r="R142" s="617"/>
      <c r="S142" s="617"/>
      <c r="T142" s="617"/>
      <c r="U142" s="617"/>
      <c r="V142" s="617"/>
      <c r="W142" s="617"/>
      <c r="X142" s="617"/>
      <c r="Y142" s="617"/>
      <c r="Z142" s="617"/>
      <c r="AA142" s="617"/>
      <c r="AB142" s="617"/>
      <c r="AC142" s="617"/>
      <c r="AD142" s="617"/>
      <c r="AE142" s="618"/>
      <c r="AF142" s="618"/>
      <c r="AG142" s="618"/>
    </row>
    <row r="143" spans="1:33" x14ac:dyDescent="0.25">
      <c r="A143" s="611" t="s">
        <v>138</v>
      </c>
      <c r="B143" s="612" t="s">
        <v>759</v>
      </c>
      <c r="C143" s="611"/>
      <c r="D143" s="614"/>
      <c r="E143" s="614"/>
      <c r="F143" s="621"/>
      <c r="G143" s="621"/>
      <c r="H143" s="621"/>
      <c r="I143" s="621"/>
      <c r="J143" s="621"/>
      <c r="K143" s="621"/>
      <c r="L143" s="623"/>
      <c r="M143" s="623"/>
      <c r="N143" s="622"/>
      <c r="O143" s="617"/>
      <c r="P143" s="617"/>
      <c r="Q143" s="617"/>
      <c r="R143" s="617"/>
      <c r="S143" s="617"/>
      <c r="T143" s="617"/>
      <c r="U143" s="617"/>
      <c r="V143" s="617"/>
      <c r="W143" s="617"/>
      <c r="X143" s="617"/>
      <c r="Y143" s="617"/>
      <c r="Z143" s="617"/>
      <c r="AA143" s="617"/>
      <c r="AB143" s="617"/>
      <c r="AC143" s="617"/>
      <c r="AD143" s="617"/>
      <c r="AE143" s="618"/>
      <c r="AF143" s="618"/>
      <c r="AG143" s="618"/>
    </row>
    <row r="144" spans="1:33" x14ac:dyDescent="0.25">
      <c r="A144" s="611" t="s">
        <v>138</v>
      </c>
      <c r="B144" s="612" t="s">
        <v>748</v>
      </c>
      <c r="C144" s="611"/>
      <c r="D144" s="614"/>
      <c r="E144" s="614"/>
      <c r="F144" s="621"/>
      <c r="G144" s="621"/>
      <c r="H144" s="621"/>
      <c r="I144" s="621"/>
      <c r="J144" s="621"/>
      <c r="K144" s="621"/>
      <c r="L144" s="623"/>
      <c r="M144" s="623"/>
      <c r="N144" s="623"/>
      <c r="O144" s="622"/>
      <c r="P144" s="617"/>
      <c r="Q144" s="617"/>
      <c r="R144" s="617"/>
      <c r="S144" s="617"/>
      <c r="T144" s="617"/>
      <c r="U144" s="617"/>
      <c r="V144" s="617"/>
      <c r="W144" s="617"/>
      <c r="X144" s="617"/>
      <c r="Y144" s="617"/>
      <c r="Z144" s="617"/>
      <c r="AA144" s="617"/>
      <c r="AB144" s="617"/>
      <c r="AC144" s="617"/>
      <c r="AD144" s="617"/>
      <c r="AE144" s="618"/>
      <c r="AF144" s="618"/>
      <c r="AG144" s="618"/>
    </row>
    <row r="145" spans="1:33" x14ac:dyDescent="0.25">
      <c r="A145" s="611" t="s">
        <v>138</v>
      </c>
      <c r="B145" s="612" t="s">
        <v>749</v>
      </c>
      <c r="C145" s="611"/>
      <c r="D145" s="614"/>
      <c r="E145" s="614"/>
      <c r="F145" s="621"/>
      <c r="G145" s="621"/>
      <c r="H145" s="621"/>
      <c r="I145" s="621"/>
      <c r="J145" s="621"/>
      <c r="K145" s="621"/>
      <c r="L145" s="623"/>
      <c r="M145" s="623"/>
      <c r="N145" s="623"/>
      <c r="O145" s="623"/>
      <c r="P145" s="622"/>
      <c r="Q145" s="617"/>
      <c r="R145" s="617"/>
      <c r="S145" s="617"/>
      <c r="T145" s="617"/>
      <c r="U145" s="617"/>
      <c r="V145" s="617"/>
      <c r="W145" s="617"/>
      <c r="X145" s="617"/>
      <c r="Y145" s="617"/>
      <c r="Z145" s="617"/>
      <c r="AA145" s="617"/>
      <c r="AB145" s="617"/>
      <c r="AC145" s="617"/>
      <c r="AD145" s="617"/>
      <c r="AE145" s="618"/>
      <c r="AF145" s="618"/>
      <c r="AG145" s="618"/>
    </row>
    <row r="146" spans="1:33" x14ac:dyDescent="0.25">
      <c r="A146" s="611" t="s">
        <v>138</v>
      </c>
      <c r="B146" s="612" t="s">
        <v>760</v>
      </c>
      <c r="C146" s="618"/>
      <c r="D146" s="614"/>
      <c r="E146" s="614"/>
      <c r="F146" s="621"/>
      <c r="G146" s="621"/>
      <c r="H146" s="621"/>
      <c r="I146" s="621"/>
      <c r="J146" s="621"/>
      <c r="K146" s="621"/>
      <c r="L146" s="623"/>
      <c r="M146" s="623"/>
      <c r="N146" s="623"/>
      <c r="O146" s="623"/>
      <c r="P146" s="623"/>
      <c r="Q146" s="622"/>
      <c r="R146" s="617"/>
      <c r="S146" s="617"/>
      <c r="T146" s="617"/>
      <c r="U146" s="617"/>
      <c r="V146" s="617"/>
      <c r="W146" s="617"/>
      <c r="X146" s="617"/>
      <c r="Y146" s="617"/>
      <c r="Z146" s="617"/>
      <c r="AA146" s="617"/>
      <c r="AB146" s="617"/>
      <c r="AC146" s="617"/>
      <c r="AD146" s="617"/>
      <c r="AE146" s="618"/>
      <c r="AF146" s="618"/>
      <c r="AG146" s="618"/>
    </row>
    <row r="147" spans="1:33" x14ac:dyDescent="0.25">
      <c r="A147" s="611" t="s">
        <v>138</v>
      </c>
      <c r="B147" s="612" t="s">
        <v>751</v>
      </c>
      <c r="C147" s="618"/>
      <c r="D147" s="614"/>
      <c r="E147" s="614"/>
      <c r="F147" s="621"/>
      <c r="G147" s="621"/>
      <c r="H147" s="621"/>
      <c r="I147" s="621"/>
      <c r="J147" s="621"/>
      <c r="K147" s="621"/>
      <c r="L147" s="623"/>
      <c r="M147" s="623"/>
      <c r="N147" s="623"/>
      <c r="O147" s="623"/>
      <c r="P147" s="623"/>
      <c r="Q147" s="623"/>
      <c r="R147" s="622"/>
      <c r="T147" s="618"/>
      <c r="U147" s="618"/>
      <c r="V147" s="618"/>
      <c r="W147" s="617"/>
      <c r="X147" s="617"/>
      <c r="Y147" s="617"/>
      <c r="Z147" s="617"/>
      <c r="AA147" s="617"/>
      <c r="AB147" s="617"/>
      <c r="AC147" s="617"/>
      <c r="AD147" s="617"/>
      <c r="AE147" s="618"/>
      <c r="AF147" s="618"/>
      <c r="AG147" s="618"/>
    </row>
    <row r="148" spans="1:33" x14ac:dyDescent="0.25">
      <c r="A148" s="611" t="s">
        <v>138</v>
      </c>
      <c r="B148" s="612" t="s">
        <v>752</v>
      </c>
      <c r="C148" s="618"/>
      <c r="D148" s="614"/>
      <c r="E148" s="614"/>
      <c r="F148" s="621"/>
      <c r="G148" s="621"/>
      <c r="H148" s="621"/>
      <c r="I148" s="621"/>
      <c r="J148" s="621"/>
      <c r="K148" s="621"/>
      <c r="L148" s="623"/>
      <c r="M148" s="623"/>
      <c r="N148" s="623"/>
      <c r="O148" s="623"/>
      <c r="P148" s="623"/>
      <c r="Q148" s="623"/>
      <c r="R148" s="623"/>
      <c r="S148" s="622"/>
      <c r="T148" s="618"/>
      <c r="U148" s="618"/>
      <c r="V148" s="618"/>
      <c r="W148" s="617"/>
      <c r="X148" s="617"/>
      <c r="Y148" s="617"/>
      <c r="Z148" s="617"/>
      <c r="AA148" s="617"/>
      <c r="AB148" s="617"/>
      <c r="AC148" s="617"/>
      <c r="AD148" s="617"/>
      <c r="AE148" s="618"/>
      <c r="AF148" s="618"/>
      <c r="AG148" s="618"/>
    </row>
    <row r="149" spans="1:33" x14ac:dyDescent="0.25">
      <c r="A149" s="611" t="s">
        <v>138</v>
      </c>
      <c r="B149" s="612" t="s">
        <v>753</v>
      </c>
      <c r="C149" s="618"/>
      <c r="D149" s="614"/>
      <c r="E149" s="614"/>
      <c r="F149" s="621"/>
      <c r="G149" s="621"/>
      <c r="H149" s="621"/>
      <c r="I149" s="621"/>
      <c r="J149" s="621"/>
      <c r="K149" s="621"/>
      <c r="L149" s="623"/>
      <c r="M149" s="623"/>
      <c r="N149" s="623"/>
      <c r="O149" s="623"/>
      <c r="P149" s="623"/>
      <c r="Q149" s="623"/>
      <c r="R149" s="623"/>
      <c r="S149" s="623"/>
      <c r="T149" s="622"/>
      <c r="U149" s="618"/>
      <c r="V149" s="618"/>
      <c r="W149" s="617"/>
      <c r="X149" s="617"/>
      <c r="Y149" s="617"/>
      <c r="Z149" s="617"/>
      <c r="AA149" s="617"/>
      <c r="AB149" s="617"/>
      <c r="AC149" s="617"/>
      <c r="AD149" s="617"/>
      <c r="AE149" s="618"/>
      <c r="AF149" s="618"/>
      <c r="AG149" s="618"/>
    </row>
    <row r="150" spans="1:33" x14ac:dyDescent="0.25">
      <c r="A150" s="611" t="s">
        <v>138</v>
      </c>
      <c r="B150" s="612" t="s">
        <v>754</v>
      </c>
      <c r="C150" s="618"/>
      <c r="D150" s="614"/>
      <c r="E150" s="614"/>
      <c r="F150" s="621"/>
      <c r="G150" s="621"/>
      <c r="H150" s="621"/>
      <c r="I150" s="621"/>
      <c r="J150" s="621"/>
      <c r="K150" s="621"/>
      <c r="L150" s="623"/>
      <c r="M150" s="623"/>
      <c r="N150" s="623"/>
      <c r="O150" s="623"/>
      <c r="P150" s="623"/>
      <c r="Q150" s="623"/>
      <c r="R150" s="623"/>
      <c r="S150" s="623"/>
      <c r="T150" s="623"/>
      <c r="U150" s="622"/>
      <c r="V150" s="618"/>
      <c r="W150" s="617"/>
      <c r="X150" s="617"/>
      <c r="Y150" s="617"/>
      <c r="Z150" s="617"/>
      <c r="AA150" s="617"/>
      <c r="AB150" s="617"/>
      <c r="AC150" s="617"/>
      <c r="AD150" s="617"/>
      <c r="AE150" s="618"/>
      <c r="AF150" s="618"/>
      <c r="AG150" s="618"/>
    </row>
    <row r="151" spans="1:33" x14ac:dyDescent="0.25">
      <c r="A151" s="611" t="s">
        <v>138</v>
      </c>
      <c r="B151" s="612" t="s">
        <v>755</v>
      </c>
      <c r="C151" s="618"/>
      <c r="D151" s="614"/>
      <c r="E151" s="614"/>
      <c r="F151" s="621"/>
      <c r="G151" s="621"/>
      <c r="H151" s="621"/>
      <c r="I151" s="621"/>
      <c r="J151" s="621"/>
      <c r="K151" s="621"/>
      <c r="L151" s="623"/>
      <c r="M151" s="623"/>
      <c r="N151" s="623"/>
      <c r="O151" s="623"/>
      <c r="P151" s="623"/>
      <c r="Q151" s="623"/>
      <c r="R151" s="623"/>
      <c r="S151" s="623"/>
      <c r="T151" s="623"/>
      <c r="U151" s="623"/>
      <c r="V151" s="622"/>
      <c r="W151" s="617"/>
      <c r="X151" s="617"/>
      <c r="Y151" s="617"/>
      <c r="Z151" s="617"/>
      <c r="AA151" s="617"/>
      <c r="AB151" s="617"/>
      <c r="AC151" s="617"/>
      <c r="AD151" s="617"/>
      <c r="AE151" s="618"/>
      <c r="AF151" s="618"/>
      <c r="AG151" s="618"/>
    </row>
    <row r="152" spans="1:33" x14ac:dyDescent="0.25">
      <c r="A152" s="611" t="s">
        <v>138</v>
      </c>
      <c r="B152" s="612" t="s">
        <v>756</v>
      </c>
      <c r="C152" s="618"/>
      <c r="D152" s="614"/>
      <c r="E152" s="614"/>
      <c r="F152" s="621"/>
      <c r="G152" s="621"/>
      <c r="H152" s="621"/>
      <c r="I152" s="621"/>
      <c r="J152" s="621"/>
      <c r="K152" s="621"/>
      <c r="L152" s="623"/>
      <c r="M152" s="623"/>
      <c r="N152" s="623"/>
      <c r="O152" s="623"/>
      <c r="P152" s="623"/>
      <c r="Q152" s="623"/>
      <c r="R152" s="623"/>
      <c r="S152" s="623"/>
      <c r="T152" s="623"/>
      <c r="U152" s="623"/>
      <c r="V152" s="623"/>
      <c r="W152" s="622"/>
      <c r="X152" s="617"/>
      <c r="Y152" s="617"/>
      <c r="Z152" s="617"/>
      <c r="AA152" s="617"/>
      <c r="AB152" s="617"/>
      <c r="AC152" s="617"/>
      <c r="AD152" s="617"/>
      <c r="AE152" s="618"/>
      <c r="AF152" s="618"/>
      <c r="AG152" s="618"/>
    </row>
    <row r="153" spans="1:33" x14ac:dyDescent="0.25">
      <c r="A153" s="611" t="s">
        <v>138</v>
      </c>
      <c r="B153" s="612" t="s">
        <v>757</v>
      </c>
      <c r="C153" s="618"/>
      <c r="D153" s="614"/>
      <c r="E153" s="614"/>
      <c r="F153" s="621"/>
      <c r="G153" s="621"/>
      <c r="H153" s="621"/>
      <c r="I153" s="621"/>
      <c r="J153" s="621"/>
      <c r="K153" s="621"/>
      <c r="L153" s="623"/>
      <c r="M153" s="623"/>
      <c r="N153" s="623"/>
      <c r="O153" s="623"/>
      <c r="P153" s="623"/>
      <c r="Q153" s="623"/>
      <c r="R153" s="623"/>
      <c r="S153" s="623"/>
      <c r="T153" s="623"/>
      <c r="U153" s="623"/>
      <c r="V153" s="623"/>
      <c r="W153" s="623"/>
      <c r="X153" s="622"/>
      <c r="Y153" s="617"/>
      <c r="Z153" s="617"/>
      <c r="AA153" s="617"/>
      <c r="AB153" s="617"/>
      <c r="AC153" s="617"/>
      <c r="AD153" s="617"/>
      <c r="AE153" s="618"/>
      <c r="AF153" s="618"/>
      <c r="AG153" s="618"/>
    </row>
    <row r="154" spans="1:33" x14ac:dyDescent="0.25">
      <c r="A154" s="611" t="s">
        <v>138</v>
      </c>
      <c r="B154" s="612" t="s">
        <v>761</v>
      </c>
      <c r="C154" s="618"/>
      <c r="D154" s="614"/>
      <c r="E154" s="614"/>
      <c r="F154" s="621"/>
      <c r="G154" s="621"/>
      <c r="H154" s="621"/>
      <c r="I154" s="621"/>
      <c r="J154" s="621"/>
      <c r="K154" s="621"/>
      <c r="L154" s="623"/>
      <c r="M154" s="623"/>
      <c r="N154" s="623"/>
      <c r="O154" s="623"/>
      <c r="P154" s="623"/>
      <c r="Q154" s="623"/>
      <c r="R154" s="623"/>
      <c r="S154" s="623"/>
      <c r="T154" s="623"/>
      <c r="U154" s="623"/>
      <c r="V154" s="623"/>
      <c r="W154" s="623"/>
      <c r="X154" s="623"/>
      <c r="Y154" s="622"/>
      <c r="Z154" s="617"/>
      <c r="AA154" s="617"/>
      <c r="AB154" s="617"/>
      <c r="AC154" s="617"/>
      <c r="AD154" s="617"/>
      <c r="AE154" s="618"/>
      <c r="AF154" s="618"/>
      <c r="AG154" s="618"/>
    </row>
    <row r="155" spans="1:33" x14ac:dyDescent="0.25">
      <c r="A155" s="611" t="s">
        <v>138</v>
      </c>
      <c r="B155" s="612" t="s">
        <v>762</v>
      </c>
      <c r="C155" s="618"/>
      <c r="D155" s="614"/>
      <c r="E155" s="614"/>
      <c r="F155" s="621"/>
      <c r="G155" s="621"/>
      <c r="H155" s="621"/>
      <c r="I155" s="621"/>
      <c r="J155" s="621"/>
      <c r="K155" s="621"/>
      <c r="L155" s="623"/>
      <c r="M155" s="623"/>
      <c r="N155" s="623"/>
      <c r="O155" s="623"/>
      <c r="P155" s="623"/>
      <c r="Q155" s="623"/>
      <c r="R155" s="623"/>
      <c r="S155" s="623"/>
      <c r="T155" s="623"/>
      <c r="U155" s="623"/>
      <c r="V155" s="623"/>
      <c r="W155" s="623"/>
      <c r="X155" s="623"/>
      <c r="Y155" s="623"/>
      <c r="Z155" s="622"/>
      <c r="AA155" s="617"/>
      <c r="AB155" s="617"/>
      <c r="AC155" s="617"/>
      <c r="AD155" s="617"/>
      <c r="AE155" s="618"/>
      <c r="AF155" s="618"/>
      <c r="AG155" s="618"/>
    </row>
    <row r="156" spans="1:33" x14ac:dyDescent="0.25">
      <c r="A156" s="611" t="s">
        <v>138</v>
      </c>
      <c r="B156" s="612" t="s">
        <v>763</v>
      </c>
      <c r="C156" s="618"/>
      <c r="D156" s="614"/>
      <c r="E156" s="614"/>
      <c r="F156" s="621"/>
      <c r="G156" s="621"/>
      <c r="H156" s="621"/>
      <c r="I156" s="621"/>
      <c r="J156" s="621"/>
      <c r="K156" s="621"/>
      <c r="L156" s="623"/>
      <c r="M156" s="623"/>
      <c r="N156" s="623"/>
      <c r="O156" s="623"/>
      <c r="P156" s="623"/>
      <c r="Q156" s="623"/>
      <c r="R156" s="623"/>
      <c r="S156" s="623"/>
      <c r="T156" s="623"/>
      <c r="U156" s="623"/>
      <c r="V156" s="623"/>
      <c r="W156" s="623"/>
      <c r="X156" s="623"/>
      <c r="Y156" s="623"/>
      <c r="Z156" s="623"/>
      <c r="AA156" s="622"/>
      <c r="AB156" s="617"/>
      <c r="AC156" s="617"/>
      <c r="AD156" s="617"/>
      <c r="AE156" s="618"/>
      <c r="AF156" s="618"/>
      <c r="AG156" s="618"/>
    </row>
    <row r="157" spans="1:33" x14ac:dyDescent="0.25">
      <c r="A157" s="611" t="s">
        <v>138</v>
      </c>
      <c r="B157" s="612" t="s">
        <v>764</v>
      </c>
      <c r="C157" s="618"/>
      <c r="D157" s="614"/>
      <c r="E157" s="614"/>
      <c r="F157" s="621"/>
      <c r="G157" s="621"/>
      <c r="H157" s="621"/>
      <c r="I157" s="621"/>
      <c r="J157" s="621"/>
      <c r="K157" s="621"/>
      <c r="L157" s="623"/>
      <c r="M157" s="623"/>
      <c r="N157" s="623"/>
      <c r="O157" s="623"/>
      <c r="P157" s="623"/>
      <c r="Q157" s="623"/>
      <c r="R157" s="623"/>
      <c r="S157" s="623"/>
      <c r="T157" s="623"/>
      <c r="U157" s="623"/>
      <c r="V157" s="623"/>
      <c r="W157" s="623"/>
      <c r="X157" s="623"/>
      <c r="Y157" s="623"/>
      <c r="Z157" s="623"/>
      <c r="AA157" s="623"/>
      <c r="AB157" s="622"/>
      <c r="AC157" s="617"/>
      <c r="AD157" s="617"/>
      <c r="AE157" s="618"/>
      <c r="AF157" s="618"/>
      <c r="AG157" s="618"/>
    </row>
    <row r="158" spans="1:33" x14ac:dyDescent="0.25">
      <c r="A158" s="611" t="s">
        <v>138</v>
      </c>
      <c r="B158" s="612" t="s">
        <v>765</v>
      </c>
      <c r="C158" s="618"/>
      <c r="D158" s="614"/>
      <c r="E158" s="614"/>
      <c r="F158" s="621"/>
      <c r="G158" s="621"/>
      <c r="H158" s="621"/>
      <c r="I158" s="621"/>
      <c r="J158" s="621"/>
      <c r="K158" s="621"/>
      <c r="L158" s="623"/>
      <c r="M158" s="623"/>
      <c r="N158" s="623"/>
      <c r="O158" s="623"/>
      <c r="P158" s="623"/>
      <c r="Q158" s="623"/>
      <c r="R158" s="623"/>
      <c r="S158" s="623"/>
      <c r="T158" s="623"/>
      <c r="U158" s="623"/>
      <c r="V158" s="623"/>
      <c r="W158" s="623"/>
      <c r="X158" s="623"/>
      <c r="Y158" s="623"/>
      <c r="Z158" s="623"/>
      <c r="AA158" s="623"/>
      <c r="AB158" s="623"/>
      <c r="AC158" s="622"/>
      <c r="AD158" s="617"/>
      <c r="AE158" s="618"/>
      <c r="AF158" s="618"/>
      <c r="AG158" s="618"/>
    </row>
    <row r="159" spans="1:33" x14ac:dyDescent="0.25">
      <c r="A159" s="611" t="s">
        <v>138</v>
      </c>
      <c r="B159" s="612" t="s">
        <v>766</v>
      </c>
      <c r="C159" s="618"/>
      <c r="D159" s="614"/>
      <c r="E159" s="614"/>
      <c r="F159" s="621"/>
      <c r="G159" s="621"/>
      <c r="H159" s="621"/>
      <c r="I159" s="621"/>
      <c r="J159" s="621"/>
      <c r="K159" s="621"/>
      <c r="L159" s="623"/>
      <c r="M159" s="623"/>
      <c r="N159" s="623"/>
      <c r="O159" s="623"/>
      <c r="P159" s="623"/>
      <c r="Q159" s="623"/>
      <c r="R159" s="623"/>
      <c r="S159" s="623"/>
      <c r="T159" s="623"/>
      <c r="U159" s="623"/>
      <c r="V159" s="623"/>
      <c r="W159" s="623"/>
      <c r="X159" s="623"/>
      <c r="Y159" s="623"/>
      <c r="Z159" s="623"/>
      <c r="AA159" s="623"/>
      <c r="AB159" s="623"/>
      <c r="AC159" s="623"/>
      <c r="AD159" s="622"/>
      <c r="AE159" s="618"/>
      <c r="AF159" s="618"/>
      <c r="AG159" s="618"/>
    </row>
    <row r="160" spans="1:33" x14ac:dyDescent="0.25">
      <c r="A160" s="624"/>
      <c r="B160" s="625" t="s">
        <v>180</v>
      </c>
      <c r="C160" s="626"/>
      <c r="D160" s="626"/>
      <c r="E160" s="626"/>
      <c r="F160" s="626"/>
      <c r="G160" s="626"/>
      <c r="H160" s="626"/>
      <c r="I160" s="626"/>
      <c r="J160" s="626"/>
      <c r="K160" s="626"/>
      <c r="L160" s="626"/>
      <c r="M160" s="626"/>
      <c r="N160" s="626"/>
      <c r="O160" s="626"/>
      <c r="P160" s="626"/>
      <c r="Q160" s="626"/>
      <c r="R160" s="626"/>
      <c r="S160" s="626"/>
      <c r="T160" s="626"/>
      <c r="U160" s="626"/>
      <c r="V160" s="626"/>
      <c r="W160" s="626"/>
      <c r="X160" s="626"/>
      <c r="Y160" s="626"/>
      <c r="Z160" s="626"/>
      <c r="AA160" s="626"/>
      <c r="AB160" s="626"/>
      <c r="AC160" s="626"/>
      <c r="AD160" s="626"/>
      <c r="AE160" s="626"/>
      <c r="AF160" s="626"/>
      <c r="AG160" s="626"/>
    </row>
    <row r="161" spans="1:33" x14ac:dyDescent="0.25">
      <c r="A161" s="606"/>
      <c r="B161" s="644"/>
      <c r="C161" s="645"/>
      <c r="D161" s="645"/>
      <c r="E161" s="645"/>
      <c r="F161" s="645"/>
      <c r="G161" s="645"/>
      <c r="H161" s="645"/>
      <c r="I161" s="645"/>
      <c r="J161" s="645"/>
      <c r="K161" s="645"/>
      <c r="L161" s="645"/>
      <c r="M161" s="645"/>
      <c r="N161" s="645"/>
      <c r="O161" s="645"/>
      <c r="P161" s="645"/>
      <c r="Q161" s="645"/>
      <c r="R161" s="645"/>
      <c r="S161" s="645"/>
      <c r="T161" s="645"/>
      <c r="U161" s="645"/>
      <c r="V161" s="645"/>
      <c r="W161" s="645"/>
      <c r="X161" s="645"/>
      <c r="Y161" s="645"/>
      <c r="Z161" s="645"/>
      <c r="AA161" s="645"/>
      <c r="AB161" s="645"/>
      <c r="AC161" s="645"/>
      <c r="AD161" s="645"/>
      <c r="AE161" s="645"/>
      <c r="AF161" s="645"/>
      <c r="AG161" s="645"/>
    </row>
    <row r="162" spans="1:33" x14ac:dyDescent="0.25">
      <c r="A162" s="606"/>
      <c r="B162" s="644"/>
      <c r="C162" s="645"/>
      <c r="D162" s="645"/>
      <c r="E162" s="645"/>
      <c r="F162" s="645"/>
      <c r="G162" s="645"/>
      <c r="H162" s="645"/>
      <c r="I162" s="645"/>
      <c r="J162" s="645"/>
      <c r="K162" s="645"/>
      <c r="L162" s="645"/>
      <c r="M162" s="645"/>
      <c r="N162" s="645"/>
      <c r="O162" s="645"/>
      <c r="P162" s="645"/>
      <c r="Q162" s="645"/>
      <c r="R162" s="645"/>
      <c r="S162" s="645"/>
      <c r="T162" s="645"/>
      <c r="U162" s="645"/>
      <c r="V162" s="645"/>
      <c r="W162" s="645"/>
      <c r="X162" s="645"/>
      <c r="Y162" s="645"/>
      <c r="Z162" s="645"/>
      <c r="AA162" s="645"/>
      <c r="AB162" s="645"/>
      <c r="AC162" s="645"/>
      <c r="AD162" s="645"/>
      <c r="AE162" s="645"/>
      <c r="AF162" s="645"/>
      <c r="AG162" s="645"/>
    </row>
    <row r="163" spans="1:33" x14ac:dyDescent="0.25">
      <c r="B163" s="605" t="s">
        <v>771</v>
      </c>
      <c r="F163" s="606" t="s">
        <v>73</v>
      </c>
      <c r="G163" s="606"/>
      <c r="H163" s="606"/>
      <c r="I163" s="606"/>
      <c r="J163" s="606"/>
      <c r="K163" s="606"/>
    </row>
    <row r="164" spans="1:33" ht="26.4" x14ac:dyDescent="0.3">
      <c r="A164" s="607"/>
      <c r="B164" s="630" t="s">
        <v>696</v>
      </c>
      <c r="C164" s="1201" t="s">
        <v>767</v>
      </c>
      <c r="D164" s="1201" t="s">
        <v>734</v>
      </c>
      <c r="E164" s="1201" t="s">
        <v>735</v>
      </c>
      <c r="F164" s="1203" t="s">
        <v>736</v>
      </c>
      <c r="G164" s="1204"/>
      <c r="H164" s="1204"/>
      <c r="I164" s="1204"/>
      <c r="J164" s="1204"/>
      <c r="K164" s="1204"/>
      <c r="L164" s="1204"/>
      <c r="M164" s="1204"/>
      <c r="N164" s="1204"/>
      <c r="O164" s="1204"/>
      <c r="P164" s="1204"/>
      <c r="Q164" s="1204"/>
      <c r="R164" s="1204"/>
      <c r="S164" s="1204"/>
      <c r="T164" s="1204"/>
      <c r="U164" s="1204"/>
      <c r="V164" s="1204"/>
      <c r="W164" s="1204"/>
      <c r="X164" s="1204"/>
      <c r="Y164" s="1204"/>
      <c r="Z164" s="1204"/>
      <c r="AA164" s="1204"/>
      <c r="AB164" s="1204"/>
      <c r="AC164" s="1204"/>
      <c r="AD164" s="1205"/>
      <c r="AE164" s="608" t="s">
        <v>737</v>
      </c>
      <c r="AF164" s="608" t="s">
        <v>738</v>
      </c>
      <c r="AG164" s="608" t="s">
        <v>739</v>
      </c>
    </row>
    <row r="165" spans="1:33" x14ac:dyDescent="0.25">
      <c r="A165" s="607"/>
      <c r="B165" s="630"/>
      <c r="C165" s="1202"/>
      <c r="D165" s="1202"/>
      <c r="E165" s="1202"/>
      <c r="F165" s="609" t="s">
        <v>740</v>
      </c>
      <c r="G165" s="609" t="s">
        <v>741</v>
      </c>
      <c r="H165" s="609" t="s">
        <v>742</v>
      </c>
      <c r="I165" s="609" t="s">
        <v>743</v>
      </c>
      <c r="J165" s="609" t="s">
        <v>744</v>
      </c>
      <c r="K165" s="609" t="s">
        <v>745</v>
      </c>
      <c r="L165" s="610" t="s">
        <v>746</v>
      </c>
      <c r="M165" s="610" t="s">
        <v>747</v>
      </c>
      <c r="N165" s="610" t="s">
        <v>759</v>
      </c>
      <c r="O165" s="610" t="s">
        <v>748</v>
      </c>
      <c r="P165" s="610" t="s">
        <v>749</v>
      </c>
      <c r="Q165" s="610" t="s">
        <v>750</v>
      </c>
      <c r="R165" s="610" t="s">
        <v>751</v>
      </c>
      <c r="S165" s="610" t="s">
        <v>752</v>
      </c>
      <c r="T165" s="610" t="s">
        <v>753</v>
      </c>
      <c r="U165" s="610" t="s">
        <v>754</v>
      </c>
      <c r="V165" s="610" t="s">
        <v>755</v>
      </c>
      <c r="W165" s="610" t="s">
        <v>756</v>
      </c>
      <c r="X165" s="610" t="s">
        <v>757</v>
      </c>
      <c r="Y165" s="610" t="s">
        <v>77</v>
      </c>
      <c r="Z165" s="610" t="s">
        <v>87</v>
      </c>
      <c r="AA165" s="610" t="s">
        <v>88</v>
      </c>
      <c r="AB165" s="610" t="s">
        <v>89</v>
      </c>
      <c r="AC165" s="610" t="s">
        <v>90</v>
      </c>
      <c r="AD165" s="610" t="s">
        <v>91</v>
      </c>
      <c r="AE165" s="608"/>
      <c r="AF165" s="608"/>
      <c r="AG165" s="608"/>
    </row>
    <row r="166" spans="1:33" x14ac:dyDescent="0.25">
      <c r="A166" s="611" t="s">
        <v>758</v>
      </c>
      <c r="B166" s="612">
        <v>2005</v>
      </c>
      <c r="C166" s="613"/>
      <c r="D166" s="614"/>
      <c r="E166" s="614"/>
      <c r="F166" s="615"/>
      <c r="G166" s="615"/>
      <c r="H166" s="615"/>
      <c r="I166" s="615"/>
      <c r="J166" s="615"/>
      <c r="K166" s="616"/>
      <c r="L166" s="617"/>
      <c r="M166" s="617"/>
      <c r="N166" s="617"/>
      <c r="O166" s="617"/>
      <c r="P166" s="617"/>
      <c r="Q166" s="617"/>
      <c r="R166" s="617"/>
      <c r="S166" s="617"/>
      <c r="T166" s="617"/>
      <c r="U166" s="617"/>
      <c r="V166" s="617"/>
      <c r="W166" s="617"/>
      <c r="X166" s="617"/>
      <c r="Y166" s="617"/>
      <c r="Z166" s="617"/>
      <c r="AA166" s="617"/>
      <c r="AB166" s="617"/>
      <c r="AC166" s="617"/>
      <c r="AD166" s="617"/>
      <c r="AE166" s="618"/>
      <c r="AF166" s="618"/>
      <c r="AG166" s="618"/>
    </row>
    <row r="167" spans="1:33" x14ac:dyDescent="0.25">
      <c r="A167" s="611" t="s">
        <v>138</v>
      </c>
      <c r="B167" s="619" t="s">
        <v>740</v>
      </c>
      <c r="C167" s="613"/>
      <c r="D167" s="614"/>
      <c r="E167" s="614"/>
      <c r="F167" s="620"/>
      <c r="G167" s="616"/>
      <c r="H167" s="616"/>
      <c r="I167" s="616"/>
      <c r="J167" s="616"/>
      <c r="K167" s="616"/>
      <c r="L167" s="617"/>
      <c r="M167" s="617"/>
      <c r="N167" s="617"/>
      <c r="O167" s="617"/>
      <c r="P167" s="617"/>
      <c r="Q167" s="617"/>
      <c r="R167" s="617"/>
      <c r="S167" s="617"/>
      <c r="T167" s="617"/>
      <c r="U167" s="617"/>
      <c r="V167" s="617"/>
      <c r="W167" s="617"/>
      <c r="X167" s="617"/>
      <c r="Y167" s="617"/>
      <c r="Z167" s="617"/>
      <c r="AA167" s="617"/>
      <c r="AB167" s="617"/>
      <c r="AC167" s="617"/>
      <c r="AD167" s="617"/>
      <c r="AE167" s="618"/>
      <c r="AF167" s="618"/>
      <c r="AG167" s="618"/>
    </row>
    <row r="168" spans="1:33" x14ac:dyDescent="0.25">
      <c r="A168" s="611" t="s">
        <v>138</v>
      </c>
      <c r="B168" s="619" t="s">
        <v>741</v>
      </c>
      <c r="C168" s="613"/>
      <c r="D168" s="614"/>
      <c r="E168" s="614"/>
      <c r="F168" s="621"/>
      <c r="G168" s="620"/>
      <c r="H168" s="616"/>
      <c r="I168" s="616"/>
      <c r="J168" s="616"/>
      <c r="K168" s="616"/>
      <c r="L168" s="617"/>
      <c r="M168" s="617"/>
      <c r="N168" s="617"/>
      <c r="O168" s="617"/>
      <c r="P168" s="617"/>
      <c r="Q168" s="617"/>
      <c r="R168" s="617"/>
      <c r="S168" s="617"/>
      <c r="T168" s="617"/>
      <c r="U168" s="617"/>
      <c r="V168" s="617"/>
      <c r="W168" s="617"/>
      <c r="X168" s="617"/>
      <c r="Y168" s="617"/>
      <c r="Z168" s="617"/>
      <c r="AA168" s="617"/>
      <c r="AB168" s="617"/>
      <c r="AC168" s="617"/>
      <c r="AD168" s="617"/>
      <c r="AE168" s="618"/>
      <c r="AF168" s="618"/>
      <c r="AG168" s="618"/>
    </row>
    <row r="169" spans="1:33" x14ac:dyDescent="0.25">
      <c r="A169" s="611" t="s">
        <v>138</v>
      </c>
      <c r="B169" s="619" t="s">
        <v>742</v>
      </c>
      <c r="C169" s="613"/>
      <c r="D169" s="614"/>
      <c r="E169" s="614"/>
      <c r="F169" s="621"/>
      <c r="G169" s="621"/>
      <c r="H169" s="620"/>
      <c r="I169" s="616"/>
      <c r="J169" s="616"/>
      <c r="K169" s="616"/>
      <c r="L169" s="617"/>
      <c r="M169" s="617"/>
      <c r="N169" s="617"/>
      <c r="O169" s="617"/>
      <c r="P169" s="617"/>
      <c r="Q169" s="617"/>
      <c r="R169" s="617"/>
      <c r="S169" s="617"/>
      <c r="T169" s="617"/>
      <c r="U169" s="617"/>
      <c r="V169" s="617"/>
      <c r="W169" s="617"/>
      <c r="X169" s="617"/>
      <c r="Y169" s="617"/>
      <c r="Z169" s="617"/>
      <c r="AA169" s="617"/>
      <c r="AB169" s="617"/>
      <c r="AC169" s="617"/>
      <c r="AD169" s="617"/>
      <c r="AE169" s="618"/>
      <c r="AF169" s="618"/>
      <c r="AG169" s="618"/>
    </row>
    <row r="170" spans="1:33" x14ac:dyDescent="0.25">
      <c r="A170" s="611" t="s">
        <v>138</v>
      </c>
      <c r="B170" s="619" t="s">
        <v>743</v>
      </c>
      <c r="C170" s="613"/>
      <c r="D170" s="614"/>
      <c r="E170" s="614"/>
      <c r="F170" s="621"/>
      <c r="G170" s="621"/>
      <c r="H170" s="621"/>
      <c r="I170" s="620"/>
      <c r="J170" s="616"/>
      <c r="K170" s="616"/>
      <c r="L170" s="617"/>
      <c r="M170" s="617"/>
      <c r="N170" s="617"/>
      <c r="O170" s="617"/>
      <c r="P170" s="617"/>
      <c r="Q170" s="617"/>
      <c r="R170" s="617"/>
      <c r="S170" s="617"/>
      <c r="T170" s="617"/>
      <c r="U170" s="617"/>
      <c r="V170" s="617"/>
      <c r="W170" s="617"/>
      <c r="X170" s="617"/>
      <c r="Y170" s="617"/>
      <c r="Z170" s="617"/>
      <c r="AA170" s="617"/>
      <c r="AB170" s="617"/>
      <c r="AC170" s="617"/>
      <c r="AD170" s="617"/>
      <c r="AE170" s="618"/>
      <c r="AF170" s="618"/>
      <c r="AG170" s="618"/>
    </row>
    <row r="171" spans="1:33" x14ac:dyDescent="0.25">
      <c r="A171" s="611" t="s">
        <v>138</v>
      </c>
      <c r="B171" s="619" t="s">
        <v>744</v>
      </c>
      <c r="C171" s="613"/>
      <c r="D171" s="614"/>
      <c r="E171" s="614"/>
      <c r="F171" s="621"/>
      <c r="G171" s="621"/>
      <c r="H171" s="621"/>
      <c r="I171" s="621"/>
      <c r="J171" s="620"/>
      <c r="K171" s="616"/>
      <c r="L171" s="617"/>
      <c r="M171" s="617"/>
      <c r="N171" s="617"/>
      <c r="O171" s="617"/>
      <c r="P171" s="617"/>
      <c r="Q171" s="617"/>
      <c r="R171" s="617"/>
      <c r="S171" s="617"/>
      <c r="T171" s="617"/>
      <c r="U171" s="617"/>
      <c r="V171" s="617"/>
      <c r="W171" s="617"/>
      <c r="X171" s="617"/>
      <c r="Y171" s="617"/>
      <c r="Z171" s="617"/>
      <c r="AA171" s="617"/>
      <c r="AB171" s="617"/>
      <c r="AC171" s="617"/>
      <c r="AD171" s="617"/>
      <c r="AE171" s="618"/>
      <c r="AF171" s="618"/>
      <c r="AG171" s="618"/>
    </row>
    <row r="172" spans="1:33" x14ac:dyDescent="0.25">
      <c r="A172" s="611" t="s">
        <v>138</v>
      </c>
      <c r="B172" s="612" t="s">
        <v>745</v>
      </c>
      <c r="C172" s="611"/>
      <c r="D172" s="614"/>
      <c r="E172" s="614"/>
      <c r="F172" s="621"/>
      <c r="G172" s="621"/>
      <c r="H172" s="621"/>
      <c r="I172" s="621"/>
      <c r="J172" s="621"/>
      <c r="K172" s="620"/>
      <c r="L172" s="617"/>
      <c r="M172" s="617"/>
      <c r="N172" s="617"/>
      <c r="O172" s="617"/>
      <c r="P172" s="617"/>
      <c r="Q172" s="617"/>
      <c r="R172" s="617"/>
      <c r="S172" s="617"/>
      <c r="T172" s="617"/>
      <c r="U172" s="617"/>
      <c r="V172" s="617"/>
      <c r="W172" s="617"/>
      <c r="X172" s="617"/>
      <c r="Y172" s="617"/>
      <c r="Z172" s="617"/>
      <c r="AA172" s="617"/>
      <c r="AB172" s="617"/>
      <c r="AC172" s="617"/>
      <c r="AD172" s="617"/>
      <c r="AE172" s="618"/>
      <c r="AF172" s="618"/>
      <c r="AG172" s="618"/>
    </row>
    <row r="173" spans="1:33" x14ac:dyDescent="0.25">
      <c r="A173" s="611" t="s">
        <v>138</v>
      </c>
      <c r="B173" s="612" t="s">
        <v>746</v>
      </c>
      <c r="C173" s="611"/>
      <c r="D173" s="614"/>
      <c r="E173" s="614"/>
      <c r="F173" s="621"/>
      <c r="G173" s="621"/>
      <c r="H173" s="621"/>
      <c r="I173" s="621"/>
      <c r="J173" s="621"/>
      <c r="K173" s="621"/>
      <c r="L173" s="622"/>
      <c r="M173" s="617"/>
      <c r="N173" s="617"/>
      <c r="O173" s="617"/>
      <c r="P173" s="617"/>
      <c r="Q173" s="617"/>
      <c r="R173" s="617"/>
      <c r="S173" s="617"/>
      <c r="T173" s="617"/>
      <c r="U173" s="617"/>
      <c r="V173" s="617"/>
      <c r="W173" s="617"/>
      <c r="X173" s="617"/>
      <c r="Y173" s="617"/>
      <c r="Z173" s="617"/>
      <c r="AA173" s="617"/>
      <c r="AB173" s="617"/>
      <c r="AC173" s="617"/>
      <c r="AD173" s="617"/>
      <c r="AE173" s="618"/>
      <c r="AF173" s="618"/>
      <c r="AG173" s="618"/>
    </row>
    <row r="174" spans="1:33" x14ac:dyDescent="0.25">
      <c r="A174" s="611" t="s">
        <v>138</v>
      </c>
      <c r="B174" s="612" t="s">
        <v>747</v>
      </c>
      <c r="C174" s="611"/>
      <c r="D174" s="614"/>
      <c r="E174" s="614"/>
      <c r="F174" s="621"/>
      <c r="G174" s="621"/>
      <c r="H174" s="621"/>
      <c r="I174" s="621"/>
      <c r="J174" s="621"/>
      <c r="K174" s="621"/>
      <c r="L174" s="623"/>
      <c r="M174" s="622"/>
      <c r="N174" s="617"/>
      <c r="O174" s="617"/>
      <c r="P174" s="617"/>
      <c r="Q174" s="617"/>
      <c r="R174" s="617"/>
      <c r="S174" s="617"/>
      <c r="T174" s="617"/>
      <c r="U174" s="617"/>
      <c r="V174" s="617"/>
      <c r="W174" s="617"/>
      <c r="X174" s="617"/>
      <c r="Y174" s="617"/>
      <c r="Z174" s="617"/>
      <c r="AA174" s="617"/>
      <c r="AB174" s="617"/>
      <c r="AC174" s="617"/>
      <c r="AD174" s="617"/>
      <c r="AE174" s="618"/>
      <c r="AF174" s="618"/>
      <c r="AG174" s="618"/>
    </row>
    <row r="175" spans="1:33" x14ac:dyDescent="0.25">
      <c r="A175" s="611" t="s">
        <v>138</v>
      </c>
      <c r="B175" s="612" t="s">
        <v>759</v>
      </c>
      <c r="C175" s="611"/>
      <c r="D175" s="614"/>
      <c r="E175" s="614"/>
      <c r="F175" s="621"/>
      <c r="G175" s="621"/>
      <c r="H175" s="621"/>
      <c r="I175" s="621"/>
      <c r="J175" s="621"/>
      <c r="K175" s="621"/>
      <c r="L175" s="623"/>
      <c r="M175" s="623"/>
      <c r="N175" s="622"/>
      <c r="O175" s="617"/>
      <c r="P175" s="617"/>
      <c r="Q175" s="617"/>
      <c r="R175" s="617"/>
      <c r="S175" s="617"/>
      <c r="T175" s="617"/>
      <c r="U175" s="617"/>
      <c r="V175" s="617"/>
      <c r="W175" s="617"/>
      <c r="X175" s="617"/>
      <c r="Y175" s="617"/>
      <c r="Z175" s="617"/>
      <c r="AA175" s="617"/>
      <c r="AB175" s="617"/>
      <c r="AC175" s="617"/>
      <c r="AD175" s="617"/>
      <c r="AE175" s="618"/>
      <c r="AF175" s="618"/>
      <c r="AG175" s="618"/>
    </row>
    <row r="176" spans="1:33" x14ac:dyDescent="0.25">
      <c r="A176" s="611" t="s">
        <v>138</v>
      </c>
      <c r="B176" s="612" t="s">
        <v>748</v>
      </c>
      <c r="C176" s="611"/>
      <c r="D176" s="614"/>
      <c r="E176" s="614"/>
      <c r="F176" s="621"/>
      <c r="G176" s="621"/>
      <c r="H176" s="621"/>
      <c r="I176" s="621"/>
      <c r="J176" s="621"/>
      <c r="K176" s="621"/>
      <c r="L176" s="623"/>
      <c r="M176" s="623"/>
      <c r="N176" s="623"/>
      <c r="O176" s="622"/>
      <c r="P176" s="617"/>
      <c r="Q176" s="617"/>
      <c r="R176" s="617"/>
      <c r="S176" s="617"/>
      <c r="T176" s="617"/>
      <c r="U176" s="617"/>
      <c r="V176" s="617"/>
      <c r="W176" s="617"/>
      <c r="X176" s="617"/>
      <c r="Y176" s="617"/>
      <c r="Z176" s="617"/>
      <c r="AA176" s="617"/>
      <c r="AB176" s="617"/>
      <c r="AC176" s="617"/>
      <c r="AD176" s="617"/>
      <c r="AE176" s="618"/>
      <c r="AF176" s="618"/>
      <c r="AG176" s="618"/>
    </row>
    <row r="177" spans="1:33" x14ac:dyDescent="0.25">
      <c r="A177" s="611" t="s">
        <v>138</v>
      </c>
      <c r="B177" s="612" t="s">
        <v>749</v>
      </c>
      <c r="C177" s="611"/>
      <c r="D177" s="614"/>
      <c r="E177" s="614"/>
      <c r="F177" s="621"/>
      <c r="G177" s="621"/>
      <c r="H177" s="621"/>
      <c r="I177" s="621"/>
      <c r="J177" s="621"/>
      <c r="K177" s="621"/>
      <c r="L177" s="623"/>
      <c r="M177" s="623"/>
      <c r="N177" s="623"/>
      <c r="O177" s="623"/>
      <c r="P177" s="622"/>
      <c r="Q177" s="617"/>
      <c r="R177" s="617"/>
      <c r="S177" s="617"/>
      <c r="T177" s="617"/>
      <c r="U177" s="617"/>
      <c r="V177" s="617"/>
      <c r="W177" s="617"/>
      <c r="X177" s="617"/>
      <c r="Y177" s="617"/>
      <c r="Z177" s="617"/>
      <c r="AA177" s="617"/>
      <c r="AB177" s="617"/>
      <c r="AC177" s="617"/>
      <c r="AD177" s="617"/>
      <c r="AE177" s="618"/>
      <c r="AF177" s="618"/>
      <c r="AG177" s="618"/>
    </row>
    <row r="178" spans="1:33" x14ac:dyDescent="0.25">
      <c r="A178" s="611" t="s">
        <v>138</v>
      </c>
      <c r="B178" s="612" t="s">
        <v>760</v>
      </c>
      <c r="C178" s="618"/>
      <c r="D178" s="614"/>
      <c r="E178" s="614"/>
      <c r="F178" s="621"/>
      <c r="G178" s="621"/>
      <c r="H178" s="621"/>
      <c r="I178" s="621"/>
      <c r="J178" s="621"/>
      <c r="K178" s="621"/>
      <c r="L178" s="623"/>
      <c r="M178" s="623"/>
      <c r="N178" s="623"/>
      <c r="O178" s="623"/>
      <c r="P178" s="623"/>
      <c r="Q178" s="622"/>
      <c r="R178" s="617"/>
      <c r="S178" s="617"/>
      <c r="T178" s="617"/>
      <c r="U178" s="617"/>
      <c r="V178" s="617"/>
      <c r="W178" s="617"/>
      <c r="X178" s="617"/>
      <c r="Y178" s="617"/>
      <c r="Z178" s="617"/>
      <c r="AA178" s="617"/>
      <c r="AB178" s="617"/>
      <c r="AC178" s="617"/>
      <c r="AD178" s="617"/>
      <c r="AE178" s="618"/>
      <c r="AF178" s="618"/>
      <c r="AG178" s="618"/>
    </row>
    <row r="179" spans="1:33" x14ac:dyDescent="0.25">
      <c r="A179" s="611" t="s">
        <v>138</v>
      </c>
      <c r="B179" s="612" t="s">
        <v>751</v>
      </c>
      <c r="C179" s="618"/>
      <c r="D179" s="614"/>
      <c r="E179" s="614"/>
      <c r="F179" s="621"/>
      <c r="G179" s="621"/>
      <c r="H179" s="621"/>
      <c r="I179" s="621"/>
      <c r="J179" s="621"/>
      <c r="K179" s="621"/>
      <c r="L179" s="623"/>
      <c r="M179" s="623"/>
      <c r="N179" s="623"/>
      <c r="O179" s="623"/>
      <c r="P179" s="623"/>
      <c r="Q179" s="623"/>
      <c r="R179" s="622"/>
      <c r="T179" s="618"/>
      <c r="U179" s="618"/>
      <c r="V179" s="618"/>
      <c r="W179" s="617"/>
      <c r="X179" s="617"/>
      <c r="Y179" s="617"/>
      <c r="Z179" s="617"/>
      <c r="AA179" s="617"/>
      <c r="AB179" s="617"/>
      <c r="AC179" s="617"/>
      <c r="AD179" s="617"/>
      <c r="AE179" s="618"/>
      <c r="AF179" s="618"/>
      <c r="AG179" s="618"/>
    </row>
    <row r="180" spans="1:33" x14ac:dyDescent="0.25">
      <c r="A180" s="611" t="s">
        <v>138</v>
      </c>
      <c r="B180" s="612" t="s">
        <v>752</v>
      </c>
      <c r="C180" s="618"/>
      <c r="D180" s="614"/>
      <c r="E180" s="614"/>
      <c r="F180" s="621"/>
      <c r="G180" s="621"/>
      <c r="H180" s="621"/>
      <c r="I180" s="621"/>
      <c r="J180" s="621"/>
      <c r="K180" s="621"/>
      <c r="L180" s="623"/>
      <c r="M180" s="623"/>
      <c r="N180" s="623"/>
      <c r="O180" s="623"/>
      <c r="P180" s="623"/>
      <c r="Q180" s="623"/>
      <c r="R180" s="623"/>
      <c r="S180" s="622"/>
      <c r="T180" s="618"/>
      <c r="U180" s="618"/>
      <c r="V180" s="618"/>
      <c r="W180" s="617"/>
      <c r="X180" s="617"/>
      <c r="Y180" s="617"/>
      <c r="Z180" s="617"/>
      <c r="AA180" s="617"/>
      <c r="AB180" s="617"/>
      <c r="AC180" s="617"/>
      <c r="AD180" s="617"/>
      <c r="AE180" s="618"/>
      <c r="AF180" s="618"/>
      <c r="AG180" s="618"/>
    </row>
    <row r="181" spans="1:33" x14ac:dyDescent="0.25">
      <c r="A181" s="611" t="s">
        <v>138</v>
      </c>
      <c r="B181" s="612" t="s">
        <v>753</v>
      </c>
      <c r="C181" s="618"/>
      <c r="D181" s="614"/>
      <c r="E181" s="614"/>
      <c r="F181" s="621"/>
      <c r="G181" s="621"/>
      <c r="H181" s="621"/>
      <c r="I181" s="621"/>
      <c r="J181" s="621"/>
      <c r="K181" s="621"/>
      <c r="L181" s="623"/>
      <c r="M181" s="623"/>
      <c r="N181" s="623"/>
      <c r="O181" s="623"/>
      <c r="P181" s="623"/>
      <c r="Q181" s="623"/>
      <c r="R181" s="623"/>
      <c r="S181" s="623"/>
      <c r="T181" s="622"/>
      <c r="U181" s="618"/>
      <c r="V181" s="618"/>
      <c r="W181" s="617"/>
      <c r="X181" s="617"/>
      <c r="Y181" s="617"/>
      <c r="Z181" s="617"/>
      <c r="AA181" s="617"/>
      <c r="AB181" s="617"/>
      <c r="AC181" s="617"/>
      <c r="AD181" s="617"/>
      <c r="AE181" s="618"/>
      <c r="AF181" s="618"/>
      <c r="AG181" s="618"/>
    </row>
    <row r="182" spans="1:33" x14ac:dyDescent="0.25">
      <c r="A182" s="611" t="s">
        <v>138</v>
      </c>
      <c r="B182" s="612" t="s">
        <v>754</v>
      </c>
      <c r="C182" s="618"/>
      <c r="D182" s="614"/>
      <c r="E182" s="614"/>
      <c r="F182" s="621"/>
      <c r="G182" s="621"/>
      <c r="H182" s="621"/>
      <c r="I182" s="621"/>
      <c r="J182" s="621"/>
      <c r="K182" s="621"/>
      <c r="L182" s="623"/>
      <c r="M182" s="623"/>
      <c r="N182" s="623"/>
      <c r="O182" s="623"/>
      <c r="P182" s="623"/>
      <c r="Q182" s="623"/>
      <c r="R182" s="623"/>
      <c r="S182" s="623"/>
      <c r="T182" s="623"/>
      <c r="U182" s="622"/>
      <c r="V182" s="618"/>
      <c r="W182" s="617"/>
      <c r="X182" s="617"/>
      <c r="Y182" s="617"/>
      <c r="Z182" s="617"/>
      <c r="AA182" s="617"/>
      <c r="AB182" s="617"/>
      <c r="AC182" s="617"/>
      <c r="AD182" s="617"/>
      <c r="AE182" s="618"/>
      <c r="AF182" s="618"/>
      <c r="AG182" s="618"/>
    </row>
    <row r="183" spans="1:33" x14ac:dyDescent="0.25">
      <c r="A183" s="611" t="s">
        <v>138</v>
      </c>
      <c r="B183" s="612" t="s">
        <v>755</v>
      </c>
      <c r="C183" s="618"/>
      <c r="D183" s="614"/>
      <c r="E183" s="614"/>
      <c r="F183" s="621"/>
      <c r="G183" s="621"/>
      <c r="H183" s="621"/>
      <c r="I183" s="621"/>
      <c r="J183" s="621"/>
      <c r="K183" s="621"/>
      <c r="L183" s="623"/>
      <c r="M183" s="623"/>
      <c r="N183" s="623"/>
      <c r="O183" s="623"/>
      <c r="P183" s="623"/>
      <c r="Q183" s="623"/>
      <c r="R183" s="623"/>
      <c r="S183" s="623"/>
      <c r="T183" s="623"/>
      <c r="U183" s="623"/>
      <c r="V183" s="622"/>
      <c r="W183" s="617"/>
      <c r="X183" s="617"/>
      <c r="Y183" s="617"/>
      <c r="Z183" s="617"/>
      <c r="AA183" s="617"/>
      <c r="AB183" s="617"/>
      <c r="AC183" s="617"/>
      <c r="AD183" s="617"/>
      <c r="AE183" s="618"/>
      <c r="AF183" s="618"/>
      <c r="AG183" s="618"/>
    </row>
    <row r="184" spans="1:33" x14ac:dyDescent="0.25">
      <c r="A184" s="611" t="s">
        <v>138</v>
      </c>
      <c r="B184" s="612" t="s">
        <v>756</v>
      </c>
      <c r="C184" s="618"/>
      <c r="D184" s="614"/>
      <c r="E184" s="614"/>
      <c r="F184" s="621"/>
      <c r="G184" s="621"/>
      <c r="H184" s="621"/>
      <c r="I184" s="621"/>
      <c r="J184" s="621"/>
      <c r="K184" s="621"/>
      <c r="L184" s="623"/>
      <c r="M184" s="623"/>
      <c r="N184" s="623"/>
      <c r="O184" s="623"/>
      <c r="P184" s="623"/>
      <c r="Q184" s="623"/>
      <c r="R184" s="623"/>
      <c r="S184" s="623"/>
      <c r="T184" s="623"/>
      <c r="U184" s="623"/>
      <c r="V184" s="623"/>
      <c r="W184" s="622"/>
      <c r="X184" s="617"/>
      <c r="Y184" s="617"/>
      <c r="Z184" s="617"/>
      <c r="AA184" s="617"/>
      <c r="AB184" s="617"/>
      <c r="AC184" s="617"/>
      <c r="AD184" s="617"/>
      <c r="AE184" s="618"/>
      <c r="AF184" s="618"/>
      <c r="AG184" s="618"/>
    </row>
    <row r="185" spans="1:33" x14ac:dyDescent="0.25">
      <c r="A185" s="611" t="s">
        <v>138</v>
      </c>
      <c r="B185" s="612" t="s">
        <v>757</v>
      </c>
      <c r="C185" s="618"/>
      <c r="D185" s="614"/>
      <c r="E185" s="614"/>
      <c r="F185" s="621"/>
      <c r="G185" s="621"/>
      <c r="H185" s="621"/>
      <c r="I185" s="621"/>
      <c r="J185" s="621"/>
      <c r="K185" s="621"/>
      <c r="L185" s="623"/>
      <c r="M185" s="623"/>
      <c r="N185" s="623"/>
      <c r="O185" s="623"/>
      <c r="P185" s="623"/>
      <c r="Q185" s="623"/>
      <c r="R185" s="623"/>
      <c r="S185" s="623"/>
      <c r="T185" s="623"/>
      <c r="U185" s="623"/>
      <c r="V185" s="623"/>
      <c r="W185" s="623"/>
      <c r="X185" s="622"/>
      <c r="Y185" s="617"/>
      <c r="Z185" s="617"/>
      <c r="AA185" s="617"/>
      <c r="AB185" s="617"/>
      <c r="AC185" s="617"/>
      <c r="AD185" s="617"/>
      <c r="AE185" s="618"/>
      <c r="AF185" s="618"/>
      <c r="AG185" s="618"/>
    </row>
    <row r="186" spans="1:33" x14ac:dyDescent="0.25">
      <c r="A186" s="611" t="s">
        <v>138</v>
      </c>
      <c r="B186" s="612" t="s">
        <v>761</v>
      </c>
      <c r="C186" s="618"/>
      <c r="D186" s="614"/>
      <c r="E186" s="614"/>
      <c r="F186" s="621"/>
      <c r="G186" s="621"/>
      <c r="H186" s="621"/>
      <c r="I186" s="621"/>
      <c r="J186" s="621"/>
      <c r="K186" s="621"/>
      <c r="L186" s="623"/>
      <c r="M186" s="623"/>
      <c r="N186" s="623"/>
      <c r="O186" s="623"/>
      <c r="P186" s="623"/>
      <c r="Q186" s="623"/>
      <c r="R186" s="623"/>
      <c r="S186" s="623"/>
      <c r="T186" s="623"/>
      <c r="U186" s="623"/>
      <c r="V186" s="623"/>
      <c r="W186" s="623"/>
      <c r="X186" s="623"/>
      <c r="Y186" s="622"/>
      <c r="Z186" s="617"/>
      <c r="AA186" s="617"/>
      <c r="AB186" s="617"/>
      <c r="AC186" s="617"/>
      <c r="AD186" s="617"/>
      <c r="AE186" s="618"/>
      <c r="AF186" s="618"/>
      <c r="AG186" s="618"/>
    </row>
    <row r="187" spans="1:33" x14ac:dyDescent="0.25">
      <c r="A187" s="611" t="s">
        <v>138</v>
      </c>
      <c r="B187" s="612" t="s">
        <v>762</v>
      </c>
      <c r="C187" s="618"/>
      <c r="D187" s="614"/>
      <c r="E187" s="614"/>
      <c r="F187" s="621"/>
      <c r="G187" s="621"/>
      <c r="H187" s="621"/>
      <c r="I187" s="621"/>
      <c r="J187" s="621"/>
      <c r="K187" s="621"/>
      <c r="L187" s="623"/>
      <c r="M187" s="623"/>
      <c r="N187" s="623"/>
      <c r="O187" s="623"/>
      <c r="P187" s="623"/>
      <c r="Q187" s="623"/>
      <c r="R187" s="623"/>
      <c r="S187" s="623"/>
      <c r="T187" s="623"/>
      <c r="U187" s="623"/>
      <c r="V187" s="623"/>
      <c r="W187" s="623"/>
      <c r="X187" s="623"/>
      <c r="Y187" s="623"/>
      <c r="Z187" s="622"/>
      <c r="AA187" s="617"/>
      <c r="AB187" s="617"/>
      <c r="AC187" s="617"/>
      <c r="AD187" s="617"/>
      <c r="AE187" s="618"/>
      <c r="AF187" s="618"/>
      <c r="AG187" s="618"/>
    </row>
    <row r="188" spans="1:33" x14ac:dyDescent="0.25">
      <c r="A188" s="611" t="s">
        <v>138</v>
      </c>
      <c r="B188" s="612" t="s">
        <v>763</v>
      </c>
      <c r="C188" s="618"/>
      <c r="D188" s="614"/>
      <c r="E188" s="614"/>
      <c r="F188" s="621"/>
      <c r="G188" s="621"/>
      <c r="H188" s="621"/>
      <c r="I188" s="621"/>
      <c r="J188" s="621"/>
      <c r="K188" s="621"/>
      <c r="L188" s="623"/>
      <c r="M188" s="623"/>
      <c r="N188" s="623"/>
      <c r="O188" s="623"/>
      <c r="P188" s="623"/>
      <c r="Q188" s="623"/>
      <c r="R188" s="623"/>
      <c r="S188" s="623"/>
      <c r="T188" s="623"/>
      <c r="U188" s="623"/>
      <c r="V188" s="623"/>
      <c r="W188" s="623"/>
      <c r="X188" s="623"/>
      <c r="Y188" s="623"/>
      <c r="Z188" s="623"/>
      <c r="AA188" s="622"/>
      <c r="AB188" s="617"/>
      <c r="AC188" s="617"/>
      <c r="AD188" s="617"/>
      <c r="AE188" s="618"/>
      <c r="AF188" s="618"/>
      <c r="AG188" s="618"/>
    </row>
    <row r="189" spans="1:33" x14ac:dyDescent="0.25">
      <c r="A189" s="611" t="s">
        <v>138</v>
      </c>
      <c r="B189" s="612" t="s">
        <v>764</v>
      </c>
      <c r="C189" s="618"/>
      <c r="D189" s="614"/>
      <c r="E189" s="614"/>
      <c r="F189" s="621"/>
      <c r="G189" s="621"/>
      <c r="H189" s="621"/>
      <c r="I189" s="621"/>
      <c r="J189" s="621"/>
      <c r="K189" s="621"/>
      <c r="L189" s="623"/>
      <c r="M189" s="623"/>
      <c r="N189" s="623"/>
      <c r="O189" s="623"/>
      <c r="P189" s="623"/>
      <c r="Q189" s="623"/>
      <c r="R189" s="623"/>
      <c r="S189" s="623"/>
      <c r="T189" s="623"/>
      <c r="U189" s="623"/>
      <c r="V189" s="623"/>
      <c r="W189" s="623"/>
      <c r="X189" s="623"/>
      <c r="Y189" s="623"/>
      <c r="Z189" s="623"/>
      <c r="AA189" s="623"/>
      <c r="AB189" s="622"/>
      <c r="AC189" s="617"/>
      <c r="AD189" s="617"/>
      <c r="AE189" s="618"/>
      <c r="AF189" s="618"/>
      <c r="AG189" s="618"/>
    </row>
    <row r="190" spans="1:33" x14ac:dyDescent="0.25">
      <c r="A190" s="611" t="s">
        <v>138</v>
      </c>
      <c r="B190" s="612" t="s">
        <v>765</v>
      </c>
      <c r="C190" s="618"/>
      <c r="D190" s="614"/>
      <c r="E190" s="614"/>
      <c r="F190" s="621"/>
      <c r="G190" s="621"/>
      <c r="H190" s="621"/>
      <c r="I190" s="621"/>
      <c r="J190" s="621"/>
      <c r="K190" s="621"/>
      <c r="L190" s="623"/>
      <c r="M190" s="623"/>
      <c r="N190" s="623"/>
      <c r="O190" s="623"/>
      <c r="P190" s="623"/>
      <c r="Q190" s="623"/>
      <c r="R190" s="623"/>
      <c r="S190" s="623"/>
      <c r="T190" s="623"/>
      <c r="U190" s="623"/>
      <c r="V190" s="623"/>
      <c r="W190" s="623"/>
      <c r="X190" s="623"/>
      <c r="Y190" s="623"/>
      <c r="Z190" s="623"/>
      <c r="AA190" s="623"/>
      <c r="AB190" s="623"/>
      <c r="AC190" s="622"/>
      <c r="AD190" s="617"/>
      <c r="AE190" s="618"/>
      <c r="AF190" s="618"/>
      <c r="AG190" s="618"/>
    </row>
    <row r="191" spans="1:33" x14ac:dyDescent="0.25">
      <c r="A191" s="611" t="s">
        <v>138</v>
      </c>
      <c r="B191" s="612" t="s">
        <v>766</v>
      </c>
      <c r="C191" s="618"/>
      <c r="D191" s="614"/>
      <c r="E191" s="614"/>
      <c r="F191" s="621"/>
      <c r="G191" s="621"/>
      <c r="H191" s="621"/>
      <c r="I191" s="621"/>
      <c r="J191" s="621"/>
      <c r="K191" s="621"/>
      <c r="L191" s="623"/>
      <c r="M191" s="623"/>
      <c r="N191" s="623"/>
      <c r="O191" s="623"/>
      <c r="P191" s="623"/>
      <c r="Q191" s="623"/>
      <c r="R191" s="623"/>
      <c r="S191" s="623"/>
      <c r="T191" s="623"/>
      <c r="U191" s="623"/>
      <c r="V191" s="623"/>
      <c r="W191" s="623"/>
      <c r="X191" s="623"/>
      <c r="Y191" s="623"/>
      <c r="Z191" s="623"/>
      <c r="AA191" s="623"/>
      <c r="AB191" s="623"/>
      <c r="AC191" s="623"/>
      <c r="AD191" s="622"/>
      <c r="AE191" s="618"/>
      <c r="AF191" s="618"/>
      <c r="AG191" s="618"/>
    </row>
    <row r="192" spans="1:33" x14ac:dyDescent="0.25">
      <c r="A192" s="624"/>
      <c r="B192" s="625" t="s">
        <v>180</v>
      </c>
      <c r="C192" s="626"/>
      <c r="D192" s="626"/>
      <c r="E192" s="626"/>
      <c r="F192" s="626"/>
      <c r="G192" s="626"/>
      <c r="H192" s="626"/>
      <c r="I192" s="626"/>
      <c r="J192" s="626"/>
      <c r="K192" s="626"/>
      <c r="L192" s="626"/>
      <c r="M192" s="626"/>
      <c r="N192" s="626"/>
      <c r="O192" s="626"/>
      <c r="P192" s="626"/>
      <c r="Q192" s="626"/>
      <c r="R192" s="626"/>
      <c r="S192" s="626"/>
      <c r="T192" s="626"/>
      <c r="U192" s="626"/>
      <c r="V192" s="626"/>
      <c r="W192" s="626"/>
      <c r="X192" s="626"/>
      <c r="Y192" s="626"/>
      <c r="Z192" s="626"/>
      <c r="AA192" s="626"/>
      <c r="AB192" s="626"/>
      <c r="AC192" s="626"/>
      <c r="AD192" s="626"/>
      <c r="AE192" s="626"/>
      <c r="AF192" s="626"/>
      <c r="AG192" s="626"/>
    </row>
    <row r="193" spans="1:33" x14ac:dyDescent="0.25">
      <c r="A193" s="606"/>
      <c r="B193" s="644"/>
      <c r="C193" s="645"/>
      <c r="D193" s="645"/>
      <c r="E193" s="645"/>
      <c r="F193" s="645"/>
      <c r="G193" s="645"/>
      <c r="H193" s="645"/>
      <c r="I193" s="645"/>
      <c r="J193" s="645"/>
      <c r="K193" s="645"/>
      <c r="L193" s="645"/>
      <c r="M193" s="645"/>
      <c r="N193" s="645"/>
      <c r="O193" s="645"/>
      <c r="P193" s="645"/>
      <c r="Q193" s="645"/>
      <c r="R193" s="645"/>
      <c r="S193" s="645"/>
      <c r="T193" s="645"/>
      <c r="U193" s="645"/>
      <c r="V193" s="645"/>
      <c r="W193" s="645"/>
      <c r="X193" s="645"/>
      <c r="Y193" s="645"/>
      <c r="Z193" s="645"/>
      <c r="AA193" s="645"/>
      <c r="AB193" s="645"/>
      <c r="AC193" s="645"/>
      <c r="AD193" s="645"/>
      <c r="AE193" s="645"/>
      <c r="AF193" s="645"/>
      <c r="AG193" s="645"/>
    </row>
    <row r="194" spans="1:33" x14ac:dyDescent="0.25">
      <c r="A194" s="606"/>
      <c r="B194" s="644"/>
      <c r="C194" s="645"/>
      <c r="D194" s="645"/>
      <c r="E194" s="645"/>
      <c r="F194" s="645"/>
      <c r="G194" s="645"/>
      <c r="H194" s="645"/>
      <c r="I194" s="645"/>
      <c r="J194" s="645"/>
      <c r="K194" s="645"/>
      <c r="L194" s="645"/>
      <c r="M194" s="645"/>
      <c r="N194" s="645"/>
      <c r="O194" s="645"/>
      <c r="P194" s="645"/>
      <c r="Q194" s="645"/>
      <c r="R194" s="645"/>
      <c r="S194" s="645"/>
      <c r="T194" s="645"/>
      <c r="U194" s="645"/>
      <c r="V194" s="645"/>
      <c r="W194" s="645"/>
      <c r="X194" s="645"/>
      <c r="Y194" s="645"/>
      <c r="Z194" s="645"/>
      <c r="AA194" s="645"/>
      <c r="AB194" s="645"/>
      <c r="AC194" s="645"/>
      <c r="AD194" s="645"/>
      <c r="AE194" s="645"/>
      <c r="AF194" s="645"/>
      <c r="AG194" s="645"/>
    </row>
    <row r="195" spans="1:33" x14ac:dyDescent="0.25">
      <c r="B195" s="605" t="s">
        <v>180</v>
      </c>
      <c r="F195" s="606" t="s">
        <v>73</v>
      </c>
      <c r="G195" s="606"/>
      <c r="H195" s="606"/>
      <c r="I195" s="606"/>
      <c r="J195" s="606"/>
      <c r="K195" s="606"/>
    </row>
    <row r="196" spans="1:33" ht="26.4" x14ac:dyDescent="0.3">
      <c r="A196" s="607"/>
      <c r="B196" s="630" t="s">
        <v>696</v>
      </c>
      <c r="C196" s="1201" t="s">
        <v>767</v>
      </c>
      <c r="D196" s="1201" t="s">
        <v>734</v>
      </c>
      <c r="E196" s="1201" t="s">
        <v>735</v>
      </c>
      <c r="F196" s="1203" t="s">
        <v>736</v>
      </c>
      <c r="G196" s="1204"/>
      <c r="H196" s="1204"/>
      <c r="I196" s="1204"/>
      <c r="J196" s="1204"/>
      <c r="K196" s="1204"/>
      <c r="L196" s="1204"/>
      <c r="M196" s="1204"/>
      <c r="N196" s="1204"/>
      <c r="O196" s="1204"/>
      <c r="P196" s="1204"/>
      <c r="Q196" s="1204"/>
      <c r="R196" s="1204"/>
      <c r="S196" s="1204"/>
      <c r="T196" s="1204"/>
      <c r="U196" s="1204"/>
      <c r="V196" s="1204"/>
      <c r="W196" s="1204"/>
      <c r="X196" s="1204"/>
      <c r="Y196" s="1204"/>
      <c r="Z196" s="1204"/>
      <c r="AA196" s="1204"/>
      <c r="AB196" s="1204"/>
      <c r="AC196" s="1204"/>
      <c r="AD196" s="1205"/>
      <c r="AE196" s="608" t="s">
        <v>737</v>
      </c>
      <c r="AF196" s="608" t="s">
        <v>738</v>
      </c>
      <c r="AG196" s="608" t="s">
        <v>739</v>
      </c>
    </row>
    <row r="197" spans="1:33" x14ac:dyDescent="0.25">
      <c r="A197" s="607"/>
      <c r="B197" s="630"/>
      <c r="C197" s="1202"/>
      <c r="D197" s="1202"/>
      <c r="E197" s="1202"/>
      <c r="F197" s="609" t="s">
        <v>740</v>
      </c>
      <c r="G197" s="609" t="s">
        <v>741</v>
      </c>
      <c r="H197" s="609" t="s">
        <v>742</v>
      </c>
      <c r="I197" s="609" t="s">
        <v>743</v>
      </c>
      <c r="J197" s="609" t="s">
        <v>744</v>
      </c>
      <c r="K197" s="609" t="s">
        <v>745</v>
      </c>
      <c r="L197" s="610" t="s">
        <v>746</v>
      </c>
      <c r="M197" s="610" t="s">
        <v>747</v>
      </c>
      <c r="N197" s="610" t="s">
        <v>759</v>
      </c>
      <c r="O197" s="610" t="s">
        <v>748</v>
      </c>
      <c r="P197" s="610" t="s">
        <v>749</v>
      </c>
      <c r="Q197" s="610" t="s">
        <v>750</v>
      </c>
      <c r="R197" s="610" t="s">
        <v>751</v>
      </c>
      <c r="S197" s="610" t="s">
        <v>752</v>
      </c>
      <c r="T197" s="610" t="s">
        <v>753</v>
      </c>
      <c r="U197" s="610" t="s">
        <v>754</v>
      </c>
      <c r="V197" s="610" t="s">
        <v>755</v>
      </c>
      <c r="W197" s="610" t="s">
        <v>756</v>
      </c>
      <c r="X197" s="610" t="s">
        <v>757</v>
      </c>
      <c r="Y197" s="610" t="s">
        <v>77</v>
      </c>
      <c r="Z197" s="610" t="s">
        <v>87</v>
      </c>
      <c r="AA197" s="610" t="s">
        <v>88</v>
      </c>
      <c r="AB197" s="610" t="s">
        <v>89</v>
      </c>
      <c r="AC197" s="610" t="s">
        <v>90</v>
      </c>
      <c r="AD197" s="610" t="s">
        <v>91</v>
      </c>
      <c r="AE197" s="608"/>
      <c r="AF197" s="608"/>
      <c r="AG197" s="608"/>
    </row>
    <row r="198" spans="1:33" x14ac:dyDescent="0.25">
      <c r="A198" s="611" t="s">
        <v>758</v>
      </c>
      <c r="B198" s="612">
        <v>2005</v>
      </c>
      <c r="C198" s="613"/>
      <c r="D198" s="614"/>
      <c r="E198" s="614"/>
      <c r="F198" s="615"/>
      <c r="G198" s="615"/>
      <c r="H198" s="615"/>
      <c r="I198" s="615"/>
      <c r="J198" s="615"/>
      <c r="K198" s="616"/>
      <c r="L198" s="617"/>
      <c r="M198" s="617"/>
      <c r="N198" s="617"/>
      <c r="O198" s="617"/>
      <c r="P198" s="617"/>
      <c r="Q198" s="617"/>
      <c r="R198" s="617"/>
      <c r="S198" s="617"/>
      <c r="T198" s="617"/>
      <c r="U198" s="617"/>
      <c r="V198" s="617"/>
      <c r="W198" s="617"/>
      <c r="X198" s="617"/>
      <c r="Y198" s="617"/>
      <c r="Z198" s="617"/>
      <c r="AA198" s="617"/>
      <c r="AB198" s="617"/>
      <c r="AC198" s="617"/>
      <c r="AD198" s="617"/>
      <c r="AE198" s="618"/>
      <c r="AF198" s="618"/>
      <c r="AG198" s="618"/>
    </row>
    <row r="199" spans="1:33" x14ac:dyDescent="0.25">
      <c r="A199" s="611" t="s">
        <v>138</v>
      </c>
      <c r="B199" s="619" t="s">
        <v>740</v>
      </c>
      <c r="C199" s="613"/>
      <c r="D199" s="614"/>
      <c r="E199" s="614"/>
      <c r="F199" s="620"/>
      <c r="G199" s="616"/>
      <c r="H199" s="616"/>
      <c r="I199" s="616"/>
      <c r="J199" s="616"/>
      <c r="K199" s="616"/>
      <c r="L199" s="617"/>
      <c r="M199" s="617"/>
      <c r="N199" s="617"/>
      <c r="O199" s="617"/>
      <c r="P199" s="617"/>
      <c r="Q199" s="617"/>
      <c r="R199" s="617"/>
      <c r="S199" s="617"/>
      <c r="T199" s="617"/>
      <c r="U199" s="617"/>
      <c r="V199" s="617"/>
      <c r="W199" s="617"/>
      <c r="X199" s="617"/>
      <c r="Y199" s="617"/>
      <c r="Z199" s="617"/>
      <c r="AA199" s="617"/>
      <c r="AB199" s="617"/>
      <c r="AC199" s="617"/>
      <c r="AD199" s="617"/>
      <c r="AE199" s="618"/>
      <c r="AF199" s="618"/>
      <c r="AG199" s="618"/>
    </row>
    <row r="200" spans="1:33" x14ac:dyDescent="0.25">
      <c r="A200" s="611" t="s">
        <v>138</v>
      </c>
      <c r="B200" s="619" t="s">
        <v>741</v>
      </c>
      <c r="C200" s="613"/>
      <c r="D200" s="614"/>
      <c r="E200" s="614"/>
      <c r="F200" s="621"/>
      <c r="G200" s="620"/>
      <c r="H200" s="616"/>
      <c r="I200" s="616"/>
      <c r="J200" s="616"/>
      <c r="K200" s="616"/>
      <c r="L200" s="617"/>
      <c r="M200" s="617"/>
      <c r="N200" s="617"/>
      <c r="O200" s="617"/>
      <c r="P200" s="617"/>
      <c r="Q200" s="617"/>
      <c r="R200" s="617"/>
      <c r="S200" s="617"/>
      <c r="T200" s="617"/>
      <c r="U200" s="617"/>
      <c r="V200" s="617"/>
      <c r="W200" s="617"/>
      <c r="X200" s="617"/>
      <c r="Y200" s="617"/>
      <c r="Z200" s="617"/>
      <c r="AA200" s="617"/>
      <c r="AB200" s="617"/>
      <c r="AC200" s="617"/>
      <c r="AD200" s="617"/>
      <c r="AE200" s="618"/>
      <c r="AF200" s="618"/>
      <c r="AG200" s="618"/>
    </row>
    <row r="201" spans="1:33" x14ac:dyDescent="0.25">
      <c r="A201" s="611" t="s">
        <v>138</v>
      </c>
      <c r="B201" s="619" t="s">
        <v>742</v>
      </c>
      <c r="C201" s="613"/>
      <c r="D201" s="614"/>
      <c r="E201" s="614"/>
      <c r="F201" s="621"/>
      <c r="G201" s="621"/>
      <c r="H201" s="620"/>
      <c r="I201" s="616"/>
      <c r="J201" s="616"/>
      <c r="K201" s="616"/>
      <c r="L201" s="617"/>
      <c r="M201" s="617"/>
      <c r="N201" s="617"/>
      <c r="O201" s="617"/>
      <c r="P201" s="617"/>
      <c r="Q201" s="617"/>
      <c r="R201" s="617"/>
      <c r="S201" s="617"/>
      <c r="T201" s="617"/>
      <c r="U201" s="617"/>
      <c r="V201" s="617"/>
      <c r="W201" s="617"/>
      <c r="X201" s="617"/>
      <c r="Y201" s="617"/>
      <c r="Z201" s="617"/>
      <c r="AA201" s="617"/>
      <c r="AB201" s="617"/>
      <c r="AC201" s="617"/>
      <c r="AD201" s="617"/>
      <c r="AE201" s="618"/>
      <c r="AF201" s="618"/>
      <c r="AG201" s="618"/>
    </row>
    <row r="202" spans="1:33" x14ac:dyDescent="0.25">
      <c r="A202" s="611" t="s">
        <v>138</v>
      </c>
      <c r="B202" s="619" t="s">
        <v>743</v>
      </c>
      <c r="C202" s="613"/>
      <c r="D202" s="614"/>
      <c r="E202" s="614"/>
      <c r="F202" s="621"/>
      <c r="G202" s="621"/>
      <c r="H202" s="621"/>
      <c r="I202" s="620"/>
      <c r="J202" s="616"/>
      <c r="K202" s="616"/>
      <c r="L202" s="617"/>
      <c r="M202" s="617"/>
      <c r="N202" s="617"/>
      <c r="O202" s="617"/>
      <c r="P202" s="617"/>
      <c r="Q202" s="617"/>
      <c r="R202" s="617"/>
      <c r="S202" s="617"/>
      <c r="T202" s="617"/>
      <c r="U202" s="617"/>
      <c r="V202" s="617"/>
      <c r="W202" s="617"/>
      <c r="X202" s="617"/>
      <c r="Y202" s="617"/>
      <c r="Z202" s="617"/>
      <c r="AA202" s="617"/>
      <c r="AB202" s="617"/>
      <c r="AC202" s="617"/>
      <c r="AD202" s="617"/>
      <c r="AE202" s="618"/>
      <c r="AF202" s="618"/>
      <c r="AG202" s="618"/>
    </row>
    <row r="203" spans="1:33" x14ac:dyDescent="0.25">
      <c r="A203" s="611" t="s">
        <v>138</v>
      </c>
      <c r="B203" s="619" t="s">
        <v>744</v>
      </c>
      <c r="C203" s="613"/>
      <c r="D203" s="614"/>
      <c r="E203" s="614"/>
      <c r="F203" s="621"/>
      <c r="G203" s="621"/>
      <c r="H203" s="621"/>
      <c r="I203" s="621"/>
      <c r="J203" s="620"/>
      <c r="K203" s="616"/>
      <c r="L203" s="617"/>
      <c r="M203" s="617"/>
      <c r="N203" s="617"/>
      <c r="O203" s="617"/>
      <c r="P203" s="617"/>
      <c r="Q203" s="617"/>
      <c r="R203" s="617"/>
      <c r="S203" s="617"/>
      <c r="T203" s="617"/>
      <c r="U203" s="617"/>
      <c r="V203" s="617"/>
      <c r="W203" s="617"/>
      <c r="X203" s="617"/>
      <c r="Y203" s="617"/>
      <c r="Z203" s="617"/>
      <c r="AA203" s="617"/>
      <c r="AB203" s="617"/>
      <c r="AC203" s="617"/>
      <c r="AD203" s="617"/>
      <c r="AE203" s="618"/>
      <c r="AF203" s="618"/>
      <c r="AG203" s="618"/>
    </row>
    <row r="204" spans="1:33" x14ac:dyDescent="0.25">
      <c r="A204" s="611" t="s">
        <v>138</v>
      </c>
      <c r="B204" s="612" t="s">
        <v>745</v>
      </c>
      <c r="C204" s="611"/>
      <c r="D204" s="614"/>
      <c r="E204" s="614"/>
      <c r="F204" s="621"/>
      <c r="G204" s="621"/>
      <c r="H204" s="621"/>
      <c r="I204" s="621"/>
      <c r="J204" s="621"/>
      <c r="K204" s="620"/>
      <c r="L204" s="617"/>
      <c r="M204" s="617"/>
      <c r="N204" s="617"/>
      <c r="O204" s="617"/>
      <c r="P204" s="617"/>
      <c r="Q204" s="617"/>
      <c r="R204" s="617"/>
      <c r="S204" s="617"/>
      <c r="T204" s="617"/>
      <c r="U204" s="617"/>
      <c r="V204" s="617"/>
      <c r="W204" s="617"/>
      <c r="X204" s="617"/>
      <c r="Y204" s="617"/>
      <c r="Z204" s="617"/>
      <c r="AA204" s="617"/>
      <c r="AB204" s="617"/>
      <c r="AC204" s="617"/>
      <c r="AD204" s="617"/>
      <c r="AE204" s="618"/>
      <c r="AF204" s="618"/>
      <c r="AG204" s="618"/>
    </row>
    <row r="205" spans="1:33" x14ac:dyDescent="0.25">
      <c r="A205" s="611" t="s">
        <v>138</v>
      </c>
      <c r="B205" s="612" t="s">
        <v>746</v>
      </c>
      <c r="C205" s="611"/>
      <c r="D205" s="614"/>
      <c r="E205" s="614"/>
      <c r="F205" s="621"/>
      <c r="G205" s="621"/>
      <c r="H205" s="621"/>
      <c r="I205" s="621"/>
      <c r="J205" s="621"/>
      <c r="K205" s="621"/>
      <c r="L205" s="622"/>
      <c r="M205" s="617"/>
      <c r="N205" s="617"/>
      <c r="O205" s="617"/>
      <c r="P205" s="617"/>
      <c r="Q205" s="617"/>
      <c r="R205" s="617"/>
      <c r="S205" s="617"/>
      <c r="T205" s="617"/>
      <c r="U205" s="617"/>
      <c r="V205" s="617"/>
      <c r="W205" s="617"/>
      <c r="X205" s="617"/>
      <c r="Y205" s="617"/>
      <c r="Z205" s="617"/>
      <c r="AA205" s="617"/>
      <c r="AB205" s="617"/>
      <c r="AC205" s="617"/>
      <c r="AD205" s="617"/>
      <c r="AE205" s="618"/>
      <c r="AF205" s="618"/>
      <c r="AG205" s="618"/>
    </row>
    <row r="206" spans="1:33" x14ac:dyDescent="0.25">
      <c r="A206" s="611" t="s">
        <v>138</v>
      </c>
      <c r="B206" s="612" t="s">
        <v>747</v>
      </c>
      <c r="C206" s="611"/>
      <c r="D206" s="614"/>
      <c r="E206" s="614"/>
      <c r="F206" s="621"/>
      <c r="G206" s="621"/>
      <c r="H206" s="621"/>
      <c r="I206" s="621"/>
      <c r="J206" s="621"/>
      <c r="K206" s="621"/>
      <c r="L206" s="623"/>
      <c r="M206" s="622"/>
      <c r="N206" s="617"/>
      <c r="O206" s="617"/>
      <c r="P206" s="617"/>
      <c r="Q206" s="617"/>
      <c r="R206" s="617"/>
      <c r="S206" s="617"/>
      <c r="T206" s="617"/>
      <c r="U206" s="617"/>
      <c r="V206" s="617"/>
      <c r="W206" s="617"/>
      <c r="X206" s="617"/>
      <c r="Y206" s="617"/>
      <c r="Z206" s="617"/>
      <c r="AA206" s="617"/>
      <c r="AB206" s="617"/>
      <c r="AC206" s="617"/>
      <c r="AD206" s="617"/>
      <c r="AE206" s="618"/>
      <c r="AF206" s="618"/>
      <c r="AG206" s="618"/>
    </row>
    <row r="207" spans="1:33" x14ac:dyDescent="0.25">
      <c r="A207" s="611" t="s">
        <v>138</v>
      </c>
      <c r="B207" s="612" t="s">
        <v>759</v>
      </c>
      <c r="C207" s="611"/>
      <c r="D207" s="614"/>
      <c r="E207" s="614"/>
      <c r="F207" s="621"/>
      <c r="G207" s="621"/>
      <c r="H207" s="621"/>
      <c r="I207" s="621"/>
      <c r="J207" s="621"/>
      <c r="K207" s="621"/>
      <c r="L207" s="623"/>
      <c r="M207" s="623"/>
      <c r="N207" s="622"/>
      <c r="O207" s="617"/>
      <c r="P207" s="617"/>
      <c r="Q207" s="617"/>
      <c r="R207" s="617"/>
      <c r="S207" s="617"/>
      <c r="T207" s="617"/>
      <c r="U207" s="617"/>
      <c r="V207" s="617"/>
      <c r="W207" s="617"/>
      <c r="X207" s="617"/>
      <c r="Y207" s="617"/>
      <c r="Z207" s="617"/>
      <c r="AA207" s="617"/>
      <c r="AB207" s="617"/>
      <c r="AC207" s="617"/>
      <c r="AD207" s="617"/>
      <c r="AE207" s="618"/>
      <c r="AF207" s="618"/>
      <c r="AG207" s="618"/>
    </row>
    <row r="208" spans="1:33" x14ac:dyDescent="0.25">
      <c r="A208" s="611" t="s">
        <v>138</v>
      </c>
      <c r="B208" s="612" t="s">
        <v>748</v>
      </c>
      <c r="C208" s="611"/>
      <c r="D208" s="614"/>
      <c r="E208" s="614"/>
      <c r="F208" s="621"/>
      <c r="G208" s="621"/>
      <c r="H208" s="621"/>
      <c r="I208" s="621"/>
      <c r="J208" s="621"/>
      <c r="K208" s="621"/>
      <c r="L208" s="623"/>
      <c r="M208" s="623"/>
      <c r="N208" s="623"/>
      <c r="O208" s="622"/>
      <c r="P208" s="617"/>
      <c r="Q208" s="617"/>
      <c r="R208" s="617"/>
      <c r="S208" s="617"/>
      <c r="T208" s="617"/>
      <c r="U208" s="617"/>
      <c r="V208" s="617"/>
      <c r="W208" s="617"/>
      <c r="X208" s="617"/>
      <c r="Y208" s="617"/>
      <c r="Z208" s="617"/>
      <c r="AA208" s="617"/>
      <c r="AB208" s="617"/>
      <c r="AC208" s="617"/>
      <c r="AD208" s="617"/>
      <c r="AE208" s="618"/>
      <c r="AF208" s="618"/>
      <c r="AG208" s="618"/>
    </row>
    <row r="209" spans="1:33" x14ac:dyDescent="0.25">
      <c r="A209" s="611" t="s">
        <v>138</v>
      </c>
      <c r="B209" s="612" t="s">
        <v>749</v>
      </c>
      <c r="C209" s="611"/>
      <c r="D209" s="614"/>
      <c r="E209" s="614"/>
      <c r="F209" s="621"/>
      <c r="G209" s="621"/>
      <c r="H209" s="621"/>
      <c r="I209" s="621"/>
      <c r="J209" s="621"/>
      <c r="K209" s="621"/>
      <c r="L209" s="623"/>
      <c r="M209" s="623"/>
      <c r="N209" s="623"/>
      <c r="O209" s="623"/>
      <c r="P209" s="622"/>
      <c r="Q209" s="617"/>
      <c r="R209" s="617"/>
      <c r="S209" s="617"/>
      <c r="T209" s="617"/>
      <c r="U209" s="617"/>
      <c r="V209" s="617"/>
      <c r="W209" s="617"/>
      <c r="X209" s="617"/>
      <c r="Y209" s="617"/>
      <c r="Z209" s="617"/>
      <c r="AA209" s="617"/>
      <c r="AB209" s="617"/>
      <c r="AC209" s="617"/>
      <c r="AD209" s="617"/>
      <c r="AE209" s="618"/>
      <c r="AF209" s="618"/>
      <c r="AG209" s="618"/>
    </row>
    <row r="210" spans="1:33" x14ac:dyDescent="0.25">
      <c r="A210" s="611" t="s">
        <v>138</v>
      </c>
      <c r="B210" s="612" t="s">
        <v>760</v>
      </c>
      <c r="C210" s="618"/>
      <c r="D210" s="614"/>
      <c r="E210" s="614"/>
      <c r="F210" s="621"/>
      <c r="G210" s="621"/>
      <c r="H210" s="621"/>
      <c r="I210" s="621"/>
      <c r="J210" s="621"/>
      <c r="K210" s="621"/>
      <c r="L210" s="623"/>
      <c r="M210" s="623"/>
      <c r="N210" s="623"/>
      <c r="O210" s="623"/>
      <c r="P210" s="623"/>
      <c r="Q210" s="622"/>
      <c r="R210" s="617"/>
      <c r="S210" s="617"/>
      <c r="T210" s="617"/>
      <c r="U210" s="617"/>
      <c r="V210" s="617"/>
      <c r="W210" s="617"/>
      <c r="X210" s="617"/>
      <c r="Y210" s="617"/>
      <c r="Z210" s="617"/>
      <c r="AA210" s="617"/>
      <c r="AB210" s="617"/>
      <c r="AC210" s="617"/>
      <c r="AD210" s="617"/>
      <c r="AE210" s="618"/>
      <c r="AF210" s="618"/>
      <c r="AG210" s="618"/>
    </row>
    <row r="211" spans="1:33" x14ac:dyDescent="0.25">
      <c r="A211" s="611" t="s">
        <v>138</v>
      </c>
      <c r="B211" s="612" t="s">
        <v>751</v>
      </c>
      <c r="C211" s="618"/>
      <c r="D211" s="614"/>
      <c r="E211" s="614"/>
      <c r="F211" s="621"/>
      <c r="G211" s="621"/>
      <c r="H211" s="621"/>
      <c r="I211" s="621"/>
      <c r="J211" s="621"/>
      <c r="K211" s="621"/>
      <c r="L211" s="623"/>
      <c r="M211" s="623"/>
      <c r="N211" s="623"/>
      <c r="O211" s="623"/>
      <c r="P211" s="623"/>
      <c r="Q211" s="623"/>
      <c r="R211" s="622"/>
      <c r="T211" s="618"/>
      <c r="U211" s="618"/>
      <c r="V211" s="618"/>
      <c r="W211" s="617"/>
      <c r="X211" s="617"/>
      <c r="Y211" s="617"/>
      <c r="Z211" s="617"/>
      <c r="AA211" s="617"/>
      <c r="AB211" s="617"/>
      <c r="AC211" s="617"/>
      <c r="AD211" s="617"/>
      <c r="AE211" s="618"/>
      <c r="AF211" s="618"/>
      <c r="AG211" s="618"/>
    </row>
    <row r="212" spans="1:33" x14ac:dyDescent="0.25">
      <c r="A212" s="611" t="s">
        <v>138</v>
      </c>
      <c r="B212" s="612" t="s">
        <v>752</v>
      </c>
      <c r="C212" s="618"/>
      <c r="D212" s="614"/>
      <c r="E212" s="614"/>
      <c r="F212" s="621"/>
      <c r="G212" s="621"/>
      <c r="H212" s="621"/>
      <c r="I212" s="621"/>
      <c r="J212" s="621"/>
      <c r="K212" s="621"/>
      <c r="L212" s="623"/>
      <c r="M212" s="623"/>
      <c r="N212" s="623"/>
      <c r="O212" s="623"/>
      <c r="P212" s="623"/>
      <c r="Q212" s="623"/>
      <c r="R212" s="623"/>
      <c r="S212" s="622"/>
      <c r="T212" s="618"/>
      <c r="U212" s="618"/>
      <c r="V212" s="618"/>
      <c r="W212" s="617"/>
      <c r="X212" s="617"/>
      <c r="Y212" s="617"/>
      <c r="Z212" s="617"/>
      <c r="AA212" s="617"/>
      <c r="AB212" s="617"/>
      <c r="AC212" s="617"/>
      <c r="AD212" s="617"/>
      <c r="AE212" s="618"/>
      <c r="AF212" s="618"/>
      <c r="AG212" s="618"/>
    </row>
    <row r="213" spans="1:33" x14ac:dyDescent="0.25">
      <c r="A213" s="611" t="s">
        <v>138</v>
      </c>
      <c r="B213" s="612" t="s">
        <v>753</v>
      </c>
      <c r="C213" s="618"/>
      <c r="D213" s="614"/>
      <c r="E213" s="614"/>
      <c r="F213" s="621"/>
      <c r="G213" s="621"/>
      <c r="H213" s="621"/>
      <c r="I213" s="621"/>
      <c r="J213" s="621"/>
      <c r="K213" s="621"/>
      <c r="L213" s="623"/>
      <c r="M213" s="623"/>
      <c r="N213" s="623"/>
      <c r="O213" s="623"/>
      <c r="P213" s="623"/>
      <c r="Q213" s="623"/>
      <c r="R213" s="623"/>
      <c r="S213" s="623"/>
      <c r="T213" s="622"/>
      <c r="U213" s="618"/>
      <c r="V213" s="618"/>
      <c r="W213" s="617"/>
      <c r="X213" s="617"/>
      <c r="Y213" s="617"/>
      <c r="Z213" s="617"/>
      <c r="AA213" s="617"/>
      <c r="AB213" s="617"/>
      <c r="AC213" s="617"/>
      <c r="AD213" s="617"/>
      <c r="AE213" s="618"/>
      <c r="AF213" s="618"/>
      <c r="AG213" s="618"/>
    </row>
    <row r="214" spans="1:33" x14ac:dyDescent="0.25">
      <c r="A214" s="611" t="s">
        <v>138</v>
      </c>
      <c r="B214" s="612" t="s">
        <v>754</v>
      </c>
      <c r="C214" s="618"/>
      <c r="D214" s="614"/>
      <c r="E214" s="614"/>
      <c r="F214" s="621"/>
      <c r="G214" s="621"/>
      <c r="H214" s="621"/>
      <c r="I214" s="621"/>
      <c r="J214" s="621"/>
      <c r="K214" s="621"/>
      <c r="L214" s="623"/>
      <c r="M214" s="623"/>
      <c r="N214" s="623"/>
      <c r="O214" s="623"/>
      <c r="P214" s="623"/>
      <c r="Q214" s="623"/>
      <c r="R214" s="623"/>
      <c r="S214" s="623"/>
      <c r="T214" s="623"/>
      <c r="U214" s="622"/>
      <c r="V214" s="618"/>
      <c r="W214" s="617"/>
      <c r="X214" s="617"/>
      <c r="Y214" s="617"/>
      <c r="Z214" s="617"/>
      <c r="AA214" s="617"/>
      <c r="AB214" s="617"/>
      <c r="AC214" s="617"/>
      <c r="AD214" s="617"/>
      <c r="AE214" s="618"/>
      <c r="AF214" s="618"/>
      <c r="AG214" s="618"/>
    </row>
    <row r="215" spans="1:33" x14ac:dyDescent="0.25">
      <c r="A215" s="611" t="s">
        <v>138</v>
      </c>
      <c r="B215" s="612" t="s">
        <v>755</v>
      </c>
      <c r="C215" s="618"/>
      <c r="D215" s="614"/>
      <c r="E215" s="614"/>
      <c r="F215" s="621"/>
      <c r="G215" s="621"/>
      <c r="H215" s="621"/>
      <c r="I215" s="621"/>
      <c r="J215" s="621"/>
      <c r="K215" s="621"/>
      <c r="L215" s="623"/>
      <c r="M215" s="623"/>
      <c r="N215" s="623"/>
      <c r="O215" s="623"/>
      <c r="P215" s="623"/>
      <c r="Q215" s="623"/>
      <c r="R215" s="623"/>
      <c r="S215" s="623"/>
      <c r="T215" s="623"/>
      <c r="U215" s="623"/>
      <c r="V215" s="622"/>
      <c r="W215" s="617"/>
      <c r="X215" s="617"/>
      <c r="Y215" s="617"/>
      <c r="Z215" s="617"/>
      <c r="AA215" s="617"/>
      <c r="AB215" s="617"/>
      <c r="AC215" s="617"/>
      <c r="AD215" s="617"/>
      <c r="AE215" s="618"/>
      <c r="AF215" s="618"/>
      <c r="AG215" s="618"/>
    </row>
    <row r="216" spans="1:33" x14ac:dyDescent="0.25">
      <c r="A216" s="611" t="s">
        <v>138</v>
      </c>
      <c r="B216" s="612" t="s">
        <v>756</v>
      </c>
      <c r="C216" s="618"/>
      <c r="D216" s="614"/>
      <c r="E216" s="614"/>
      <c r="F216" s="621"/>
      <c r="G216" s="621"/>
      <c r="H216" s="621"/>
      <c r="I216" s="621"/>
      <c r="J216" s="621"/>
      <c r="K216" s="621"/>
      <c r="L216" s="623"/>
      <c r="M216" s="623"/>
      <c r="N216" s="623"/>
      <c r="O216" s="623"/>
      <c r="P216" s="623"/>
      <c r="Q216" s="623"/>
      <c r="R216" s="623"/>
      <c r="S216" s="623"/>
      <c r="T216" s="623"/>
      <c r="U216" s="623"/>
      <c r="V216" s="623"/>
      <c r="W216" s="622"/>
      <c r="X216" s="617"/>
      <c r="Y216" s="617"/>
      <c r="Z216" s="617"/>
      <c r="AA216" s="617"/>
      <c r="AB216" s="617"/>
      <c r="AC216" s="617"/>
      <c r="AD216" s="617"/>
      <c r="AE216" s="618"/>
      <c r="AF216" s="618"/>
      <c r="AG216" s="618"/>
    </row>
    <row r="217" spans="1:33" x14ac:dyDescent="0.25">
      <c r="A217" s="611" t="s">
        <v>138</v>
      </c>
      <c r="B217" s="612" t="s">
        <v>757</v>
      </c>
      <c r="C217" s="618"/>
      <c r="D217" s="614"/>
      <c r="E217" s="614"/>
      <c r="F217" s="621"/>
      <c r="G217" s="621"/>
      <c r="H217" s="621"/>
      <c r="I217" s="621"/>
      <c r="J217" s="621"/>
      <c r="K217" s="621"/>
      <c r="L217" s="623"/>
      <c r="M217" s="623"/>
      <c r="N217" s="623"/>
      <c r="O217" s="623"/>
      <c r="P217" s="623"/>
      <c r="Q217" s="623"/>
      <c r="R217" s="623"/>
      <c r="S217" s="623"/>
      <c r="T217" s="623"/>
      <c r="U217" s="623"/>
      <c r="V217" s="623"/>
      <c r="W217" s="623"/>
      <c r="X217" s="622"/>
      <c r="Y217" s="617"/>
      <c r="Z217" s="617"/>
      <c r="AA217" s="617"/>
      <c r="AB217" s="617"/>
      <c r="AC217" s="617"/>
      <c r="AD217" s="617"/>
      <c r="AE217" s="618"/>
      <c r="AF217" s="618"/>
      <c r="AG217" s="618"/>
    </row>
    <row r="218" spans="1:33" x14ac:dyDescent="0.25">
      <c r="A218" s="611" t="s">
        <v>138</v>
      </c>
      <c r="B218" s="612" t="s">
        <v>761</v>
      </c>
      <c r="C218" s="618"/>
      <c r="D218" s="614"/>
      <c r="E218" s="614"/>
      <c r="F218" s="621"/>
      <c r="G218" s="621"/>
      <c r="H218" s="621"/>
      <c r="I218" s="621"/>
      <c r="J218" s="621"/>
      <c r="K218" s="621"/>
      <c r="L218" s="623"/>
      <c r="M218" s="623"/>
      <c r="N218" s="623"/>
      <c r="O218" s="623"/>
      <c r="P218" s="623"/>
      <c r="Q218" s="623"/>
      <c r="R218" s="623"/>
      <c r="S218" s="623"/>
      <c r="T218" s="623"/>
      <c r="U218" s="623"/>
      <c r="V218" s="623"/>
      <c r="W218" s="623"/>
      <c r="X218" s="623"/>
      <c r="Y218" s="622"/>
      <c r="Z218" s="617"/>
      <c r="AA218" s="617"/>
      <c r="AB218" s="617"/>
      <c r="AC218" s="617"/>
      <c r="AD218" s="617"/>
      <c r="AE218" s="618"/>
      <c r="AF218" s="618"/>
      <c r="AG218" s="618"/>
    </row>
    <row r="219" spans="1:33" x14ac:dyDescent="0.25">
      <c r="A219" s="611" t="s">
        <v>138</v>
      </c>
      <c r="B219" s="612" t="s">
        <v>762</v>
      </c>
      <c r="C219" s="618"/>
      <c r="D219" s="614"/>
      <c r="E219" s="614"/>
      <c r="F219" s="621"/>
      <c r="G219" s="621"/>
      <c r="H219" s="621"/>
      <c r="I219" s="621"/>
      <c r="J219" s="621"/>
      <c r="K219" s="621"/>
      <c r="L219" s="623"/>
      <c r="M219" s="623"/>
      <c r="N219" s="623"/>
      <c r="O219" s="623"/>
      <c r="P219" s="623"/>
      <c r="Q219" s="623"/>
      <c r="R219" s="623"/>
      <c r="S219" s="623"/>
      <c r="T219" s="623"/>
      <c r="U219" s="623"/>
      <c r="V219" s="623"/>
      <c r="W219" s="623"/>
      <c r="X219" s="623"/>
      <c r="Y219" s="623"/>
      <c r="Z219" s="622"/>
      <c r="AA219" s="617"/>
      <c r="AB219" s="617"/>
      <c r="AC219" s="617"/>
      <c r="AD219" s="617"/>
      <c r="AE219" s="618"/>
      <c r="AF219" s="618"/>
      <c r="AG219" s="618"/>
    </row>
    <row r="220" spans="1:33" x14ac:dyDescent="0.25">
      <c r="A220" s="611" t="s">
        <v>138</v>
      </c>
      <c r="B220" s="612" t="s">
        <v>763</v>
      </c>
      <c r="C220" s="618"/>
      <c r="D220" s="614"/>
      <c r="E220" s="614"/>
      <c r="F220" s="621"/>
      <c r="G220" s="621"/>
      <c r="H220" s="621"/>
      <c r="I220" s="621"/>
      <c r="J220" s="621"/>
      <c r="K220" s="621"/>
      <c r="L220" s="623"/>
      <c r="M220" s="623"/>
      <c r="N220" s="623"/>
      <c r="O220" s="623"/>
      <c r="P220" s="623"/>
      <c r="Q220" s="623"/>
      <c r="R220" s="623"/>
      <c r="S220" s="623"/>
      <c r="T220" s="623"/>
      <c r="U220" s="623"/>
      <c r="V220" s="623"/>
      <c r="W220" s="623"/>
      <c r="X220" s="623"/>
      <c r="Y220" s="623"/>
      <c r="Z220" s="623"/>
      <c r="AA220" s="622"/>
      <c r="AB220" s="617"/>
      <c r="AC220" s="617"/>
      <c r="AD220" s="617"/>
      <c r="AE220" s="618"/>
      <c r="AF220" s="618"/>
      <c r="AG220" s="618"/>
    </row>
    <row r="221" spans="1:33" x14ac:dyDescent="0.25">
      <c r="A221" s="611" t="s">
        <v>138</v>
      </c>
      <c r="B221" s="612" t="s">
        <v>764</v>
      </c>
      <c r="C221" s="618"/>
      <c r="D221" s="614"/>
      <c r="E221" s="614"/>
      <c r="F221" s="621"/>
      <c r="G221" s="621"/>
      <c r="H221" s="621"/>
      <c r="I221" s="621"/>
      <c r="J221" s="621"/>
      <c r="K221" s="621"/>
      <c r="L221" s="623"/>
      <c r="M221" s="623"/>
      <c r="N221" s="623"/>
      <c r="O221" s="623"/>
      <c r="P221" s="623"/>
      <c r="Q221" s="623"/>
      <c r="R221" s="623"/>
      <c r="S221" s="623"/>
      <c r="T221" s="623"/>
      <c r="U221" s="623"/>
      <c r="V221" s="623"/>
      <c r="W221" s="623"/>
      <c r="X221" s="623"/>
      <c r="Y221" s="623"/>
      <c r="Z221" s="623"/>
      <c r="AA221" s="623"/>
      <c r="AB221" s="622"/>
      <c r="AC221" s="617"/>
      <c r="AD221" s="617"/>
      <c r="AE221" s="618"/>
      <c r="AF221" s="618"/>
      <c r="AG221" s="618"/>
    </row>
    <row r="222" spans="1:33" x14ac:dyDescent="0.25">
      <c r="A222" s="611" t="s">
        <v>138</v>
      </c>
      <c r="B222" s="612" t="s">
        <v>765</v>
      </c>
      <c r="C222" s="618"/>
      <c r="D222" s="614"/>
      <c r="E222" s="614"/>
      <c r="F222" s="621"/>
      <c r="G222" s="621"/>
      <c r="H222" s="621"/>
      <c r="I222" s="621"/>
      <c r="J222" s="621"/>
      <c r="K222" s="621"/>
      <c r="L222" s="623"/>
      <c r="M222" s="623"/>
      <c r="N222" s="623"/>
      <c r="O222" s="623"/>
      <c r="P222" s="623"/>
      <c r="Q222" s="623"/>
      <c r="R222" s="623"/>
      <c r="S222" s="623"/>
      <c r="T222" s="623"/>
      <c r="U222" s="623"/>
      <c r="V222" s="623"/>
      <c r="W222" s="623"/>
      <c r="X222" s="623"/>
      <c r="Y222" s="623"/>
      <c r="Z222" s="623"/>
      <c r="AA222" s="623"/>
      <c r="AB222" s="623"/>
      <c r="AC222" s="622"/>
      <c r="AD222" s="617"/>
      <c r="AE222" s="618"/>
      <c r="AF222" s="618"/>
      <c r="AG222" s="618"/>
    </row>
    <row r="223" spans="1:33" x14ac:dyDescent="0.25">
      <c r="A223" s="611" t="s">
        <v>138</v>
      </c>
      <c r="B223" s="612" t="s">
        <v>766</v>
      </c>
      <c r="C223" s="618"/>
      <c r="D223" s="614"/>
      <c r="E223" s="614"/>
      <c r="F223" s="621"/>
      <c r="G223" s="621"/>
      <c r="H223" s="621"/>
      <c r="I223" s="621"/>
      <c r="J223" s="621"/>
      <c r="K223" s="621"/>
      <c r="L223" s="623"/>
      <c r="M223" s="623"/>
      <c r="N223" s="623"/>
      <c r="O223" s="623"/>
      <c r="P223" s="623"/>
      <c r="Q223" s="623"/>
      <c r="R223" s="623"/>
      <c r="S223" s="623"/>
      <c r="T223" s="623"/>
      <c r="U223" s="623"/>
      <c r="V223" s="623"/>
      <c r="W223" s="623"/>
      <c r="X223" s="623"/>
      <c r="Y223" s="623"/>
      <c r="Z223" s="623"/>
      <c r="AA223" s="623"/>
      <c r="AB223" s="623"/>
      <c r="AC223" s="623"/>
      <c r="AD223" s="622"/>
      <c r="AE223" s="618"/>
      <c r="AF223" s="618"/>
      <c r="AG223" s="618"/>
    </row>
    <row r="224" spans="1:33" x14ac:dyDescent="0.25">
      <c r="A224" s="624"/>
      <c r="B224" s="625" t="s">
        <v>180</v>
      </c>
      <c r="C224" s="626"/>
      <c r="D224" s="626"/>
      <c r="E224" s="626"/>
      <c r="F224" s="626"/>
      <c r="G224" s="626"/>
      <c r="H224" s="626"/>
      <c r="I224" s="626"/>
      <c r="J224" s="626"/>
      <c r="K224" s="626"/>
      <c r="L224" s="626"/>
      <c r="M224" s="626"/>
      <c r="N224" s="626"/>
      <c r="O224" s="626"/>
      <c r="P224" s="626"/>
      <c r="Q224" s="626"/>
      <c r="R224" s="626"/>
      <c r="S224" s="626"/>
      <c r="T224" s="626"/>
      <c r="U224" s="626"/>
      <c r="V224" s="626"/>
      <c r="W224" s="626"/>
      <c r="X224" s="626"/>
      <c r="Y224" s="626"/>
      <c r="Z224" s="626"/>
      <c r="AA224" s="626"/>
      <c r="AB224" s="626"/>
      <c r="AC224" s="626"/>
      <c r="AD224" s="626"/>
      <c r="AE224" s="626"/>
      <c r="AF224" s="626"/>
      <c r="AG224" s="626"/>
    </row>
    <row r="225" spans="6:11" x14ac:dyDescent="0.25">
      <c r="F225" s="647"/>
      <c r="G225" s="647"/>
      <c r="H225" s="647"/>
      <c r="I225" s="647"/>
      <c r="J225" s="647"/>
      <c r="K225" s="647"/>
    </row>
  </sheetData>
  <mergeCells count="32">
    <mergeCell ref="C196:C197"/>
    <mergeCell ref="D196:D197"/>
    <mergeCell ref="E196:E197"/>
    <mergeCell ref="F196:AD196"/>
    <mergeCell ref="C164:C165"/>
    <mergeCell ref="D164:D165"/>
    <mergeCell ref="E164:E165"/>
    <mergeCell ref="F164:AD164"/>
    <mergeCell ref="C100:C101"/>
    <mergeCell ref="D100:D101"/>
    <mergeCell ref="E100:E101"/>
    <mergeCell ref="F100:AD100"/>
    <mergeCell ref="C132:C133"/>
    <mergeCell ref="D132:D133"/>
    <mergeCell ref="E132:E133"/>
    <mergeCell ref="F132:AD132"/>
    <mergeCell ref="C37:C38"/>
    <mergeCell ref="D37:D38"/>
    <mergeCell ref="E37:E38"/>
    <mergeCell ref="F37:AD37"/>
    <mergeCell ref="C68:C69"/>
    <mergeCell ref="D68:D69"/>
    <mergeCell ref="E68:E69"/>
    <mergeCell ref="F68:AD68"/>
    <mergeCell ref="A2:Y2"/>
    <mergeCell ref="A3:Y3"/>
    <mergeCell ref="A4:Y4"/>
    <mergeCell ref="B6:B7"/>
    <mergeCell ref="C6:C7"/>
    <mergeCell ref="D6:D7"/>
    <mergeCell ref="E6:E7"/>
    <mergeCell ref="F6:AD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pageSetUpPr fitToPage="1"/>
  </sheetPr>
  <dimension ref="B1:H44"/>
  <sheetViews>
    <sheetView showGridLines="0" view="pageBreakPreview" topLeftCell="A14" zoomScaleSheetLayoutView="100" workbookViewId="0">
      <selection activeCell="C19" sqref="C19"/>
    </sheetView>
  </sheetViews>
  <sheetFormatPr defaultColWidth="9.33203125" defaultRowHeight="13.8" x14ac:dyDescent="0.25"/>
  <cols>
    <col min="1" max="1" width="6.33203125" style="3" customWidth="1"/>
    <col min="2" max="2" width="7" style="112" customWidth="1"/>
    <col min="3" max="3" width="69.6640625" style="3" customWidth="1"/>
    <col min="4" max="4" width="19.6640625" style="3" customWidth="1"/>
    <col min="5" max="8" width="18.6640625" style="3" customWidth="1"/>
    <col min="9" max="16384" width="9.33203125" style="3"/>
  </cols>
  <sheetData>
    <row r="1" spans="2:8" ht="17.25" customHeight="1" x14ac:dyDescent="0.25"/>
    <row r="2" spans="2:8" ht="15.6" x14ac:dyDescent="0.25">
      <c r="B2" s="932" t="s">
        <v>871</v>
      </c>
      <c r="C2" s="932"/>
      <c r="D2" s="932"/>
      <c r="E2" s="764"/>
      <c r="F2" s="764"/>
      <c r="G2" s="764"/>
      <c r="H2" s="764"/>
    </row>
    <row r="3" spans="2:8" s="1" customFormat="1" ht="15" customHeight="1" x14ac:dyDescent="0.25">
      <c r="B3" s="927" t="s">
        <v>0</v>
      </c>
      <c r="C3" s="927"/>
      <c r="D3" s="927"/>
      <c r="E3" s="764"/>
      <c r="F3" s="764"/>
      <c r="G3" s="764"/>
      <c r="H3" s="764"/>
    </row>
    <row r="4" spans="2:8" ht="15.6" x14ac:dyDescent="0.25">
      <c r="B4" s="113"/>
      <c r="C4" s="15"/>
      <c r="D4" s="15"/>
      <c r="E4" s="15"/>
      <c r="F4" s="15"/>
      <c r="G4" s="15"/>
      <c r="H4" s="15"/>
    </row>
    <row r="5" spans="2:8" ht="15.6" x14ac:dyDescent="0.25">
      <c r="B5" s="113"/>
      <c r="C5" s="15"/>
      <c r="D5" s="15"/>
      <c r="E5" s="15"/>
      <c r="F5" s="15"/>
      <c r="G5" s="16"/>
      <c r="H5" s="15"/>
    </row>
    <row r="6" spans="2:8" ht="12.75" customHeight="1" x14ac:dyDescent="0.25">
      <c r="B6" s="928" t="s">
        <v>1</v>
      </c>
      <c r="C6" s="930" t="s">
        <v>2</v>
      </c>
      <c r="D6" s="930" t="s">
        <v>3</v>
      </c>
    </row>
    <row r="7" spans="2:8" ht="15" customHeight="1" x14ac:dyDescent="0.25">
      <c r="B7" s="928"/>
      <c r="C7" s="930"/>
      <c r="D7" s="930"/>
    </row>
    <row r="8" spans="2:8" x14ac:dyDescent="0.25">
      <c r="B8" s="929"/>
      <c r="C8" s="931"/>
      <c r="D8" s="931"/>
    </row>
    <row r="9" spans="2:8" ht="18" customHeight="1" x14ac:dyDescent="0.25">
      <c r="B9" s="114">
        <v>1</v>
      </c>
      <c r="C9" s="110" t="s">
        <v>4</v>
      </c>
      <c r="D9" s="293" t="s">
        <v>5</v>
      </c>
    </row>
    <row r="10" spans="2:8" ht="18" customHeight="1" x14ac:dyDescent="0.25">
      <c r="B10" s="114">
        <f>B9+1</f>
        <v>2</v>
      </c>
      <c r="C10" s="110" t="s">
        <v>6</v>
      </c>
      <c r="D10" s="293" t="s">
        <v>7</v>
      </c>
    </row>
    <row r="11" spans="2:8" ht="18" customHeight="1" x14ac:dyDescent="0.25">
      <c r="B11" s="114">
        <f t="shared" ref="B11:B31" si="0">B10+1</f>
        <v>3</v>
      </c>
      <c r="C11" s="110" t="s">
        <v>8</v>
      </c>
      <c r="D11" s="293" t="s">
        <v>9</v>
      </c>
    </row>
    <row r="12" spans="2:8" ht="18" customHeight="1" x14ac:dyDescent="0.25">
      <c r="B12" s="114">
        <f t="shared" si="0"/>
        <v>4</v>
      </c>
      <c r="C12" s="110" t="s">
        <v>10</v>
      </c>
      <c r="D12" s="293" t="s">
        <v>11</v>
      </c>
    </row>
    <row r="13" spans="2:8" ht="18" customHeight="1" x14ac:dyDescent="0.25">
      <c r="B13" s="114">
        <f t="shared" si="0"/>
        <v>5</v>
      </c>
      <c r="C13" s="110" t="s">
        <v>12</v>
      </c>
      <c r="D13" s="293" t="s">
        <v>13</v>
      </c>
    </row>
    <row r="14" spans="2:8" ht="18" customHeight="1" x14ac:dyDescent="0.25">
      <c r="B14" s="114">
        <f t="shared" si="0"/>
        <v>6</v>
      </c>
      <c r="C14" s="110" t="s">
        <v>14</v>
      </c>
      <c r="D14" s="293" t="s">
        <v>15</v>
      </c>
    </row>
    <row r="15" spans="2:8" ht="18" customHeight="1" x14ac:dyDescent="0.25">
      <c r="B15" s="114">
        <f t="shared" si="0"/>
        <v>7</v>
      </c>
      <c r="C15" s="110" t="s">
        <v>16</v>
      </c>
      <c r="D15" s="293" t="s">
        <v>17</v>
      </c>
    </row>
    <row r="16" spans="2:8" ht="18" customHeight="1" x14ac:dyDescent="0.25">
      <c r="B16" s="114">
        <f t="shared" si="0"/>
        <v>8</v>
      </c>
      <c r="C16" s="278" t="s">
        <v>18</v>
      </c>
      <c r="D16" s="293" t="s">
        <v>19</v>
      </c>
    </row>
    <row r="17" spans="2:4" ht="18" customHeight="1" x14ac:dyDescent="0.25">
      <c r="B17" s="114">
        <f t="shared" si="0"/>
        <v>9</v>
      </c>
      <c r="C17" s="110" t="s">
        <v>20</v>
      </c>
      <c r="D17" s="293" t="s">
        <v>21</v>
      </c>
    </row>
    <row r="18" spans="2:4" ht="18" customHeight="1" x14ac:dyDescent="0.25">
      <c r="B18" s="114">
        <f t="shared" si="0"/>
        <v>10</v>
      </c>
      <c r="C18" s="110" t="s">
        <v>22</v>
      </c>
      <c r="D18" s="293" t="s">
        <v>23</v>
      </c>
    </row>
    <row r="19" spans="2:4" ht="18" customHeight="1" x14ac:dyDescent="0.25">
      <c r="B19" s="114">
        <f t="shared" si="0"/>
        <v>11</v>
      </c>
      <c r="C19" s="110" t="s">
        <v>24</v>
      </c>
      <c r="D19" s="293" t="s">
        <v>25</v>
      </c>
    </row>
    <row r="20" spans="2:4" ht="18" customHeight="1" x14ac:dyDescent="0.25">
      <c r="B20" s="114">
        <f t="shared" si="0"/>
        <v>12</v>
      </c>
      <c r="C20" s="278" t="s">
        <v>26</v>
      </c>
      <c r="D20" s="293" t="s">
        <v>27</v>
      </c>
    </row>
    <row r="21" spans="2:4" ht="49.95" customHeight="1" x14ac:dyDescent="0.25">
      <c r="B21" s="114">
        <f t="shared" si="0"/>
        <v>13</v>
      </c>
      <c r="C21" s="493" t="s">
        <v>28</v>
      </c>
      <c r="D21" s="293" t="s">
        <v>29</v>
      </c>
    </row>
    <row r="22" spans="2:4" ht="18" customHeight="1" x14ac:dyDescent="0.25">
      <c r="B22" s="114">
        <f t="shared" si="0"/>
        <v>14</v>
      </c>
      <c r="C22" s="110" t="s">
        <v>30</v>
      </c>
      <c r="D22" s="293" t="s">
        <v>31</v>
      </c>
    </row>
    <row r="23" spans="2:4" ht="18" customHeight="1" x14ac:dyDescent="0.25">
      <c r="B23" s="114">
        <f t="shared" si="0"/>
        <v>15</v>
      </c>
      <c r="C23" s="111" t="s">
        <v>32</v>
      </c>
      <c r="D23" s="293" t="s">
        <v>33</v>
      </c>
    </row>
    <row r="24" spans="2:4" ht="18" customHeight="1" x14ac:dyDescent="0.25">
      <c r="B24" s="114">
        <f t="shared" si="0"/>
        <v>16</v>
      </c>
      <c r="C24" s="111" t="s">
        <v>34</v>
      </c>
      <c r="D24" s="293" t="s">
        <v>35</v>
      </c>
    </row>
    <row r="25" spans="2:4" ht="18" customHeight="1" x14ac:dyDescent="0.25">
      <c r="B25" s="114">
        <f t="shared" si="0"/>
        <v>17</v>
      </c>
      <c r="C25" s="110" t="s">
        <v>36</v>
      </c>
      <c r="D25" s="293" t="s">
        <v>37</v>
      </c>
    </row>
    <row r="26" spans="2:4" ht="18" customHeight="1" x14ac:dyDescent="0.25">
      <c r="B26" s="114">
        <f t="shared" si="0"/>
        <v>18</v>
      </c>
      <c r="C26" s="110" t="s">
        <v>38</v>
      </c>
      <c r="D26" s="293" t="s">
        <v>39</v>
      </c>
    </row>
    <row r="27" spans="2:4" ht="15.6" x14ac:dyDescent="0.25">
      <c r="B27" s="114">
        <f t="shared" si="0"/>
        <v>19</v>
      </c>
      <c r="C27" s="110" t="s">
        <v>40</v>
      </c>
      <c r="D27" s="293" t="s">
        <v>41</v>
      </c>
    </row>
    <row r="28" spans="2:4" ht="15.6" x14ac:dyDescent="0.25">
      <c r="B28" s="114">
        <f t="shared" si="0"/>
        <v>20</v>
      </c>
      <c r="C28" s="110" t="s">
        <v>42</v>
      </c>
      <c r="D28" s="293" t="s">
        <v>43</v>
      </c>
    </row>
    <row r="29" spans="2:4" ht="15.6" x14ac:dyDescent="0.25">
      <c r="B29" s="114">
        <f t="shared" si="0"/>
        <v>21</v>
      </c>
      <c r="C29" s="110" t="s">
        <v>44</v>
      </c>
      <c r="D29" s="293" t="s">
        <v>45</v>
      </c>
    </row>
    <row r="30" spans="2:4" ht="15.6" x14ac:dyDescent="0.25">
      <c r="B30" s="114">
        <f t="shared" si="0"/>
        <v>22</v>
      </c>
      <c r="C30" s="110" t="s">
        <v>46</v>
      </c>
      <c r="D30" s="293" t="s">
        <v>47</v>
      </c>
    </row>
    <row r="31" spans="2:4" ht="15.6" x14ac:dyDescent="0.25">
      <c r="B31" s="114">
        <f t="shared" si="0"/>
        <v>23</v>
      </c>
      <c r="C31" s="110" t="s">
        <v>48</v>
      </c>
      <c r="D31" s="293" t="s">
        <v>49</v>
      </c>
    </row>
    <row r="32" spans="2:4" ht="15.6" x14ac:dyDescent="0.25">
      <c r="B32" s="281"/>
      <c r="C32" s="276" t="s">
        <v>50</v>
      </c>
      <c r="D32" s="294"/>
    </row>
    <row r="33" spans="2:4" ht="15.6" x14ac:dyDescent="0.25">
      <c r="B33" s="277">
        <f>B31+1</f>
        <v>24</v>
      </c>
      <c r="C33" s="278" t="s">
        <v>51</v>
      </c>
      <c r="D33" s="295" t="s">
        <v>52</v>
      </c>
    </row>
    <row r="34" spans="2:4" ht="15.6" x14ac:dyDescent="0.25">
      <c r="B34" s="277">
        <f t="shared" ref="B34:B41" si="1">B33+1</f>
        <v>25</v>
      </c>
      <c r="C34" s="278" t="s">
        <v>53</v>
      </c>
      <c r="D34" s="295" t="s">
        <v>54</v>
      </c>
    </row>
    <row r="35" spans="2:4" ht="15.6" x14ac:dyDescent="0.25">
      <c r="B35" s="277">
        <f t="shared" si="1"/>
        <v>26</v>
      </c>
      <c r="C35" s="278" t="s">
        <v>55</v>
      </c>
      <c r="D35" s="295" t="s">
        <v>56</v>
      </c>
    </row>
    <row r="36" spans="2:4" ht="15.6" x14ac:dyDescent="0.25">
      <c r="B36" s="277">
        <f t="shared" si="1"/>
        <v>27</v>
      </c>
      <c r="C36" s="278" t="s">
        <v>57</v>
      </c>
      <c r="D36" s="295" t="s">
        <v>58</v>
      </c>
    </row>
    <row r="37" spans="2:4" ht="15.6" x14ac:dyDescent="0.25">
      <c r="B37" s="277">
        <f t="shared" si="1"/>
        <v>28</v>
      </c>
      <c r="C37" s="278" t="s">
        <v>59</v>
      </c>
      <c r="D37" s="295" t="s">
        <v>60</v>
      </c>
    </row>
    <row r="38" spans="2:4" ht="15.6" x14ac:dyDescent="0.25">
      <c r="B38" s="277">
        <f t="shared" si="1"/>
        <v>29</v>
      </c>
      <c r="C38" s="278" t="s">
        <v>61</v>
      </c>
      <c r="D38" s="295" t="s">
        <v>62</v>
      </c>
    </row>
    <row r="39" spans="2:4" ht="15.6" x14ac:dyDescent="0.25">
      <c r="B39" s="277">
        <f t="shared" si="1"/>
        <v>30</v>
      </c>
      <c r="C39" s="278" t="s">
        <v>63</v>
      </c>
      <c r="D39" s="295" t="s">
        <v>64</v>
      </c>
    </row>
    <row r="40" spans="2:4" ht="15.6" x14ac:dyDescent="0.25">
      <c r="B40" s="277">
        <f t="shared" si="1"/>
        <v>31</v>
      </c>
      <c r="C40" s="278" t="s">
        <v>65</v>
      </c>
      <c r="D40" s="295" t="s">
        <v>66</v>
      </c>
    </row>
    <row r="41" spans="2:4" ht="15.6" x14ac:dyDescent="0.25">
      <c r="B41" s="277">
        <f t="shared" si="1"/>
        <v>32</v>
      </c>
      <c r="C41" s="278" t="s">
        <v>67</v>
      </c>
      <c r="D41" s="295" t="s">
        <v>68</v>
      </c>
    </row>
    <row r="42" spans="2:4" ht="15.6" x14ac:dyDescent="0.25">
      <c r="B42" s="448">
        <v>32</v>
      </c>
      <c r="C42" s="110" t="s">
        <v>69</v>
      </c>
      <c r="D42" s="293" t="s">
        <v>70</v>
      </c>
    </row>
    <row r="44" spans="2:4" x14ac:dyDescent="0.25">
      <c r="B44" s="446" t="s">
        <v>71</v>
      </c>
      <c r="C44" s="447"/>
      <c r="D44" s="447"/>
    </row>
  </sheetData>
  <mergeCells count="5">
    <mergeCell ref="B3:D3"/>
    <mergeCell ref="B6:B8"/>
    <mergeCell ref="C6:C8"/>
    <mergeCell ref="D6:D8"/>
    <mergeCell ref="B2:D2"/>
  </mergeCells>
  <phoneticPr fontId="0" type="noConversion"/>
  <pageMargins left="0.47" right="0.23622047244094491" top="0.98425196850393704" bottom="0.98425196850393704" header="0.23622047244094491" footer="0.23622047244094491"/>
  <pageSetup paperSize="9" scale="9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pageSetUpPr fitToPage="1"/>
  </sheetPr>
  <dimension ref="B2:U34"/>
  <sheetViews>
    <sheetView showGridLines="0" view="pageBreakPreview" topLeftCell="A8" zoomScale="67" zoomScaleNormal="60" zoomScaleSheetLayoutView="50" workbookViewId="0">
      <selection activeCell="C18" sqref="C18"/>
    </sheetView>
  </sheetViews>
  <sheetFormatPr defaultColWidth="9.33203125" defaultRowHeight="13.8" x14ac:dyDescent="0.25"/>
  <cols>
    <col min="1" max="1" width="6.6640625" style="3" customWidth="1"/>
    <col min="2" max="2" width="6.33203125" style="112" customWidth="1"/>
    <col min="3" max="3" width="42.5546875" style="898" customWidth="1"/>
    <col min="4" max="4" width="9.88671875" style="3" bestFit="1" customWidth="1"/>
    <col min="5" max="5" width="7.6640625" style="3" customWidth="1"/>
    <col min="6" max="6" width="11.88671875" style="3" bestFit="1" customWidth="1"/>
    <col min="7" max="7" width="12.5546875" style="3" bestFit="1" customWidth="1"/>
    <col min="8" max="8" width="8.33203125" style="3" customWidth="1"/>
    <col min="9" max="9" width="11.88671875" style="3" bestFit="1" customWidth="1"/>
    <col min="10" max="10" width="12.33203125" style="3" bestFit="1" customWidth="1"/>
    <col min="11" max="11" width="7.88671875" style="3" customWidth="1"/>
    <col min="12" max="12" width="10.6640625" style="3" customWidth="1"/>
    <col min="13" max="13" width="11.109375" style="3" bestFit="1" customWidth="1"/>
    <col min="14" max="14" width="12.88671875" style="3" bestFit="1" customWidth="1"/>
    <col min="15" max="15" width="16.5546875" style="3" bestFit="1" customWidth="1"/>
    <col min="16" max="21" width="10.6640625" style="3" bestFit="1" customWidth="1"/>
    <col min="22" max="16384" width="9.33203125" style="3"/>
  </cols>
  <sheetData>
    <row r="2" spans="2:21" s="43" customFormat="1" ht="15.6" x14ac:dyDescent="0.3">
      <c r="B2" s="934" t="str">
        <f>Index!$B$2</f>
        <v>JAIGAD POWER TRANSCO LIMITED (JPTL)</v>
      </c>
      <c r="C2" s="934"/>
      <c r="D2" s="934"/>
      <c r="E2" s="934"/>
      <c r="F2" s="934"/>
      <c r="G2" s="934"/>
      <c r="H2" s="934"/>
      <c r="I2" s="934"/>
      <c r="J2" s="934"/>
      <c r="K2" s="934"/>
      <c r="L2" s="934"/>
      <c r="M2" s="934"/>
      <c r="N2" s="934"/>
      <c r="O2" s="934"/>
      <c r="P2" s="934"/>
      <c r="Q2" s="934"/>
      <c r="R2" s="934"/>
      <c r="S2" s="934"/>
      <c r="T2" s="934"/>
      <c r="U2" s="934"/>
    </row>
    <row r="3" spans="2:21" s="43" customFormat="1" ht="15.6" x14ac:dyDescent="0.3">
      <c r="B3" s="935" t="s">
        <v>0</v>
      </c>
      <c r="C3" s="935"/>
      <c r="D3" s="935"/>
      <c r="E3" s="935"/>
      <c r="F3" s="935"/>
      <c r="G3" s="935"/>
      <c r="H3" s="935"/>
      <c r="I3" s="935"/>
      <c r="J3" s="935"/>
      <c r="K3" s="935"/>
      <c r="L3" s="935"/>
      <c r="M3" s="935"/>
      <c r="N3" s="935"/>
      <c r="O3" s="935"/>
      <c r="P3" s="935"/>
      <c r="Q3" s="935"/>
      <c r="R3" s="935"/>
      <c r="S3" s="935"/>
      <c r="T3" s="935"/>
      <c r="U3" s="935"/>
    </row>
    <row r="4" spans="2:21" s="43" customFormat="1" ht="15.6" x14ac:dyDescent="0.3">
      <c r="B4" s="934" t="s">
        <v>72</v>
      </c>
      <c r="C4" s="934"/>
      <c r="D4" s="934"/>
      <c r="E4" s="934"/>
      <c r="F4" s="934"/>
      <c r="G4" s="934"/>
      <c r="H4" s="934"/>
      <c r="I4" s="934"/>
      <c r="J4" s="934"/>
      <c r="K4" s="934"/>
      <c r="L4" s="934"/>
      <c r="M4" s="934"/>
      <c r="N4" s="934"/>
      <c r="O4" s="934"/>
      <c r="P4" s="934"/>
      <c r="Q4" s="934"/>
      <c r="R4" s="934"/>
      <c r="S4" s="934"/>
      <c r="T4" s="934"/>
      <c r="U4" s="934"/>
    </row>
    <row r="6" spans="2:21" x14ac:dyDescent="0.25">
      <c r="U6" s="5" t="s">
        <v>73</v>
      </c>
    </row>
    <row r="7" spans="2:21" s="19" customFormat="1" x14ac:dyDescent="0.25">
      <c r="B7" s="938" t="s">
        <v>1</v>
      </c>
      <c r="C7" s="941" t="s">
        <v>74</v>
      </c>
      <c r="D7" s="943" t="s">
        <v>3</v>
      </c>
      <c r="E7" s="945" t="s">
        <v>75</v>
      </c>
      <c r="F7" s="946"/>
      <c r="G7" s="947"/>
      <c r="H7" s="945" t="s">
        <v>76</v>
      </c>
      <c r="I7" s="946"/>
      <c r="J7" s="947"/>
      <c r="K7" s="945" t="s">
        <v>77</v>
      </c>
      <c r="L7" s="946"/>
      <c r="M7" s="946"/>
      <c r="N7" s="946"/>
      <c r="O7" s="947"/>
      <c r="P7" s="936" t="s">
        <v>78</v>
      </c>
      <c r="Q7" s="936"/>
      <c r="R7" s="936"/>
      <c r="S7" s="936"/>
      <c r="T7" s="936"/>
      <c r="U7" s="936" t="s">
        <v>79</v>
      </c>
    </row>
    <row r="8" spans="2:21" s="19" customFormat="1" ht="41.4" x14ac:dyDescent="0.25">
      <c r="B8" s="939"/>
      <c r="C8" s="941"/>
      <c r="D8" s="943"/>
      <c r="E8" s="418" t="s">
        <v>80</v>
      </c>
      <c r="F8" s="418" t="s">
        <v>81</v>
      </c>
      <c r="G8" s="418" t="s">
        <v>82</v>
      </c>
      <c r="H8" s="418" t="s">
        <v>80</v>
      </c>
      <c r="I8" s="418" t="s">
        <v>81</v>
      </c>
      <c r="J8" s="418" t="s">
        <v>82</v>
      </c>
      <c r="K8" s="418" t="s">
        <v>80</v>
      </c>
      <c r="L8" s="418" t="s">
        <v>83</v>
      </c>
      <c r="M8" s="418" t="s">
        <v>84</v>
      </c>
      <c r="N8" s="418" t="s">
        <v>85</v>
      </c>
      <c r="O8" s="418" t="s">
        <v>86</v>
      </c>
      <c r="P8" s="418" t="s">
        <v>87</v>
      </c>
      <c r="Q8" s="418" t="s">
        <v>88</v>
      </c>
      <c r="R8" s="418" t="s">
        <v>89</v>
      </c>
      <c r="S8" s="418" t="s">
        <v>90</v>
      </c>
      <c r="T8" s="418" t="s">
        <v>91</v>
      </c>
      <c r="U8" s="936"/>
    </row>
    <row r="9" spans="2:21" s="19" customFormat="1" ht="27.6" x14ac:dyDescent="0.25">
      <c r="B9" s="940"/>
      <c r="C9" s="942"/>
      <c r="D9" s="944"/>
      <c r="E9" s="418" t="s">
        <v>92</v>
      </c>
      <c r="F9" s="418" t="s">
        <v>93</v>
      </c>
      <c r="G9" s="418" t="s">
        <v>94</v>
      </c>
      <c r="H9" s="418" t="s">
        <v>95</v>
      </c>
      <c r="I9" s="418" t="s">
        <v>96</v>
      </c>
      <c r="J9" s="418" t="s">
        <v>97</v>
      </c>
      <c r="K9" s="418" t="s">
        <v>98</v>
      </c>
      <c r="L9" s="418" t="s">
        <v>99</v>
      </c>
      <c r="M9" s="418" t="s">
        <v>100</v>
      </c>
      <c r="N9" s="418" t="s">
        <v>101</v>
      </c>
      <c r="O9" s="418" t="s">
        <v>102</v>
      </c>
      <c r="P9" s="418" t="s">
        <v>103</v>
      </c>
      <c r="Q9" s="418" t="s">
        <v>103</v>
      </c>
      <c r="R9" s="418" t="s">
        <v>103</v>
      </c>
      <c r="S9" s="418" t="s">
        <v>103</v>
      </c>
      <c r="T9" s="418" t="s">
        <v>103</v>
      </c>
      <c r="U9" s="937"/>
    </row>
    <row r="10" spans="2:21" ht="15.6" x14ac:dyDescent="0.25">
      <c r="B10" s="760">
        <v>1</v>
      </c>
      <c r="C10" s="539" t="s">
        <v>104</v>
      </c>
      <c r="D10" s="77" t="s">
        <v>7</v>
      </c>
      <c r="E10" s="810">
        <f>+'F2'!E13</f>
        <v>4.8746</v>
      </c>
      <c r="F10" s="810">
        <f>+'F2'!F13</f>
        <v>5.6385193569999998</v>
      </c>
      <c r="G10" s="810">
        <f>+F10-E10</f>
        <v>0.7639193569999998</v>
      </c>
      <c r="H10" s="810">
        <f>+'F2'!H13</f>
        <v>5.0686</v>
      </c>
      <c r="I10" s="810">
        <f>+'F2'!I13</f>
        <v>5.5921652999999996</v>
      </c>
      <c r="J10" s="810">
        <f>+I10-H10</f>
        <v>0.52356529999999957</v>
      </c>
      <c r="K10" s="811">
        <f>+'F2'!K13</f>
        <v>5.2674000000000003</v>
      </c>
      <c r="L10" s="811">
        <f>+'F2'!L9</f>
        <v>2.7404841000000002</v>
      </c>
      <c r="M10" s="811">
        <f>+'F2'!M9</f>
        <v>2.7404841000000002</v>
      </c>
      <c r="N10" s="811">
        <f>+'F2'!N9</f>
        <v>5.4809682000000004</v>
      </c>
      <c r="O10" s="811">
        <f>+N10-K10</f>
        <v>0.2135682000000001</v>
      </c>
      <c r="P10" s="811">
        <f>+'F2'!P13</f>
        <v>5.6151999999999997</v>
      </c>
      <c r="Q10" s="811">
        <f>+'F2'!Q13</f>
        <v>5.8536000000000001</v>
      </c>
      <c r="R10" s="811">
        <f>+'F2'!R13</f>
        <v>6.1322000000000001</v>
      </c>
      <c r="S10" s="811">
        <f>+'F2'!S13</f>
        <v>6.3861999999999997</v>
      </c>
      <c r="T10" s="811">
        <f>+'F2'!T13</f>
        <v>6.6815999999999995</v>
      </c>
      <c r="U10" s="4"/>
    </row>
    <row r="11" spans="2:21" ht="15.6" x14ac:dyDescent="0.25">
      <c r="B11" s="760" t="s">
        <v>874</v>
      </c>
      <c r="C11" s="761" t="s">
        <v>875</v>
      </c>
      <c r="D11" s="77" t="s">
        <v>7</v>
      </c>
      <c r="E11" s="810">
        <v>0.52</v>
      </c>
      <c r="F11" s="810">
        <f>+'F2'!D27</f>
        <v>0.55070986999999993</v>
      </c>
      <c r="G11" s="810">
        <f t="shared" ref="G11:G30" si="0">+F11-E11</f>
        <v>3.0709869999999917E-2</v>
      </c>
      <c r="H11" s="810">
        <v>0.57999999999999996</v>
      </c>
      <c r="I11" s="810">
        <f>+'F2'!E27</f>
        <v>0.15251500000000001</v>
      </c>
      <c r="J11" s="810">
        <f t="shared" ref="J11:J30" si="1">+I11-H11</f>
        <v>-0.42748499999999995</v>
      </c>
      <c r="K11" s="811">
        <v>0.33</v>
      </c>
      <c r="L11" s="811"/>
      <c r="M11" s="811">
        <f>+N11</f>
        <v>0.36261645199999998</v>
      </c>
      <c r="N11" s="811">
        <f>+'F2'!F27</f>
        <v>0.36261645199999998</v>
      </c>
      <c r="O11" s="811">
        <f t="shared" ref="O11:O30" si="2">+N11-K11</f>
        <v>3.2616451999999962E-2</v>
      </c>
      <c r="P11" s="811">
        <f>+'F2'!G27</f>
        <v>0.25</v>
      </c>
      <c r="Q11" s="811">
        <f>+'F2'!H27</f>
        <v>0</v>
      </c>
      <c r="R11" s="811">
        <f>+'F2'!I27</f>
        <v>0</v>
      </c>
      <c r="S11" s="811">
        <f>+'F2'!J27</f>
        <v>0</v>
      </c>
      <c r="T11" s="811">
        <f>+'F2'!K27</f>
        <v>0</v>
      </c>
      <c r="U11" s="4"/>
    </row>
    <row r="12" spans="2:21" ht="15.6" x14ac:dyDescent="0.25">
      <c r="B12" s="77">
        <f>+B10+1</f>
        <v>2</v>
      </c>
      <c r="C12" s="539" t="s">
        <v>105</v>
      </c>
      <c r="D12" s="77" t="s">
        <v>27</v>
      </c>
      <c r="E12" s="810">
        <v>29.18</v>
      </c>
      <c r="F12" s="810">
        <f>+'F4 '!E57</f>
        <v>29.219266733030455</v>
      </c>
      <c r="G12" s="810">
        <f t="shared" si="0"/>
        <v>3.926673303045547E-2</v>
      </c>
      <c r="H12" s="810">
        <v>29.25</v>
      </c>
      <c r="I12" s="810">
        <f>+'F4 '!I57</f>
        <v>29.320062531331455</v>
      </c>
      <c r="J12" s="810">
        <f t="shared" si="1"/>
        <v>7.0062531331455347E-2</v>
      </c>
      <c r="K12" s="811">
        <v>29.36</v>
      </c>
      <c r="L12" s="811">
        <f>+N12/2</f>
        <v>14.680006272728903</v>
      </c>
      <c r="M12" s="811">
        <f>+N12/2</f>
        <v>14.680006272728903</v>
      </c>
      <c r="N12" s="811">
        <f>+'F4 '!M57</f>
        <v>29.360012545457806</v>
      </c>
      <c r="O12" s="811">
        <f t="shared" si="2"/>
        <v>1.2545457806822924E-5</v>
      </c>
      <c r="P12" s="811">
        <f ca="1">+'F4 '!Q57</f>
        <v>7.9208327231596192</v>
      </c>
      <c r="Q12" s="811">
        <f ca="1">+'F4 '!E74</f>
        <v>8.1455463481596198</v>
      </c>
      <c r="R12" s="811">
        <f ca="1">+'F4 '!I74</f>
        <v>8.2184198031796196</v>
      </c>
      <c r="S12" s="811">
        <f ca="1">+'F4 '!M74</f>
        <v>8.3094401391796193</v>
      </c>
      <c r="T12" s="811">
        <f ca="1">+'F4 '!Q74</f>
        <v>8.3333624751796194</v>
      </c>
      <c r="U12" s="4"/>
    </row>
    <row r="13" spans="2:21" ht="15.6" x14ac:dyDescent="0.25">
      <c r="B13" s="77">
        <f t="shared" ref="B13:B31" si="3">+B12+1</f>
        <v>3</v>
      </c>
      <c r="C13" s="539" t="s">
        <v>32</v>
      </c>
      <c r="D13" s="77" t="s">
        <v>33</v>
      </c>
      <c r="E13" s="810">
        <f>+'F5'!D23</f>
        <v>7.7957435000000004</v>
      </c>
      <c r="F13" s="810">
        <f>+'F5'!E23</f>
        <v>7.8033499732642122</v>
      </c>
      <c r="G13" s="810">
        <f t="shared" si="0"/>
        <v>7.6064732642118216E-3</v>
      </c>
      <c r="H13" s="810">
        <f>+'F5'!G23</f>
        <v>5.5563604999999994</v>
      </c>
      <c r="I13" s="810">
        <f>+'F5'!H23</f>
        <v>5.5495806063515642</v>
      </c>
      <c r="J13" s="810">
        <f t="shared" si="1"/>
        <v>-6.7798936484351202E-3</v>
      </c>
      <c r="K13" s="811">
        <f>+'F5'!J23</f>
        <v>3.2747169999999994</v>
      </c>
      <c r="L13" s="811">
        <f>+N13/2</f>
        <v>1.5818005909645581</v>
      </c>
      <c r="M13" s="811">
        <f>+N13/2</f>
        <v>1.5818005909645581</v>
      </c>
      <c r="N13" s="811">
        <f>+'F5'!K23</f>
        <v>3.1636011819291161</v>
      </c>
      <c r="O13" s="811">
        <f t="shared" si="2"/>
        <v>-0.11111581807088333</v>
      </c>
      <c r="P13" s="811">
        <f ca="1">+'F5'!M23</f>
        <v>1.9402283366255091</v>
      </c>
      <c r="Q13" s="811">
        <f ca="1">+'F5'!N23</f>
        <v>1.5831926071333062</v>
      </c>
      <c r="R13" s="811">
        <f ca="1">+'F5'!O23</f>
        <v>1.0129373000056967</v>
      </c>
      <c r="S13" s="811">
        <f ca="1">+'F5'!P23</f>
        <v>0.73931875940004221</v>
      </c>
      <c r="T13" s="811">
        <f ca="1">+'F5'!Q23</f>
        <v>0.68587308379439982</v>
      </c>
      <c r="U13" s="4"/>
    </row>
    <row r="14" spans="2:21" ht="31.2" x14ac:dyDescent="0.25">
      <c r="B14" s="77">
        <f t="shared" si="3"/>
        <v>4</v>
      </c>
      <c r="C14" s="78" t="s">
        <v>106</v>
      </c>
      <c r="D14" s="77" t="s">
        <v>35</v>
      </c>
      <c r="E14" s="810">
        <f>+'F6'!E18</f>
        <v>1.3687899750000001</v>
      </c>
      <c r="F14" s="810">
        <f>+'F6'!F18</f>
        <v>1.3464311093841692</v>
      </c>
      <c r="G14" s="810">
        <f t="shared" si="0"/>
        <v>-2.2358865615830892E-2</v>
      </c>
      <c r="H14" s="810">
        <f ca="1">+'F6'!G18</f>
        <v>1.3549179094301436</v>
      </c>
      <c r="I14" s="810">
        <f>+'F6'!H18</f>
        <v>1.4555386193917625</v>
      </c>
      <c r="J14" s="810">
        <f t="shared" ca="1" si="1"/>
        <v>0.10062070996161898</v>
      </c>
      <c r="K14" s="811">
        <f ca="1">+'F6'!I18</f>
        <v>1.3278820118904557</v>
      </c>
      <c r="L14" s="811">
        <f ca="1">+N14/2</f>
        <v>0.73641588874204011</v>
      </c>
      <c r="M14" s="811">
        <f ca="1">+N14/2</f>
        <v>0.73641588874204011</v>
      </c>
      <c r="N14" s="811">
        <f ca="1">+'F6'!J18</f>
        <v>1.4728317774840802</v>
      </c>
      <c r="O14" s="811">
        <f t="shared" ca="1" si="2"/>
        <v>0.14494976559362449</v>
      </c>
      <c r="P14" s="811">
        <f ca="1">+'F6'!E41</f>
        <v>1.2595884499290462</v>
      </c>
      <c r="Q14" s="811">
        <f ca="1">+'F6'!F41</f>
        <v>1.2146316353604203</v>
      </c>
      <c r="R14" s="811">
        <f ca="1">+'F6'!G41</f>
        <v>1.2145081244260454</v>
      </c>
      <c r="S14" s="811">
        <f ca="1">+'F6'!H41</f>
        <v>1.2215905409392633</v>
      </c>
      <c r="T14" s="811">
        <f ca="1">+'F6'!I41</f>
        <v>1.2281322700165591</v>
      </c>
      <c r="U14" s="4"/>
    </row>
    <row r="15" spans="2:21" ht="15.6" x14ac:dyDescent="0.25">
      <c r="B15" s="77">
        <f t="shared" si="3"/>
        <v>5</v>
      </c>
      <c r="C15" s="539" t="s">
        <v>40</v>
      </c>
      <c r="D15" s="44" t="s">
        <v>41</v>
      </c>
      <c r="E15" s="810"/>
      <c r="F15" s="810"/>
      <c r="G15" s="810">
        <f t="shared" si="0"/>
        <v>0</v>
      </c>
      <c r="H15" s="812"/>
      <c r="I15" s="812"/>
      <c r="J15" s="810">
        <f t="shared" si="1"/>
        <v>0</v>
      </c>
      <c r="K15" s="811"/>
      <c r="L15" s="811"/>
      <c r="M15" s="811"/>
      <c r="N15" s="811"/>
      <c r="O15" s="811">
        <f t="shared" si="2"/>
        <v>0</v>
      </c>
      <c r="P15" s="813"/>
      <c r="Q15" s="813"/>
      <c r="R15" s="813"/>
      <c r="S15" s="813"/>
      <c r="T15" s="813"/>
      <c r="U15" s="4"/>
    </row>
    <row r="16" spans="2:21" ht="15.6" x14ac:dyDescent="0.25">
      <c r="B16" s="77">
        <f t="shared" si="3"/>
        <v>6</v>
      </c>
      <c r="C16" s="78" t="s">
        <v>107</v>
      </c>
      <c r="D16" s="44" t="s">
        <v>43</v>
      </c>
      <c r="E16" s="810">
        <f>+'F10'!D12</f>
        <v>1.38</v>
      </c>
      <c r="F16" s="810">
        <f>+'F10'!E12</f>
        <v>1.3793191477500002</v>
      </c>
      <c r="G16" s="810">
        <f t="shared" si="0"/>
        <v>-6.8085224999969718E-4</v>
      </c>
      <c r="H16" s="812">
        <f>+'F10'!G12</f>
        <v>1.39</v>
      </c>
      <c r="I16" s="812">
        <f>+'F10'!H12</f>
        <v>1.3917690090075001</v>
      </c>
      <c r="J16" s="810">
        <f t="shared" si="1"/>
        <v>1.7690090075002107E-3</v>
      </c>
      <c r="K16" s="811">
        <f>+'F10'!J12</f>
        <v>1.39</v>
      </c>
      <c r="L16" s="811">
        <f>+N16/2</f>
        <v>0.69648838823874992</v>
      </c>
      <c r="M16" s="811">
        <f>+N16/2</f>
        <v>0.69648838823874992</v>
      </c>
      <c r="N16" s="811">
        <f>+'F10'!K12</f>
        <v>1.3929767764774998</v>
      </c>
      <c r="O16" s="811">
        <f t="shared" si="2"/>
        <v>2.9767764774999428E-3</v>
      </c>
      <c r="P16" s="811">
        <f>+'F10'!M12</f>
        <v>1.3944767764774999</v>
      </c>
      <c r="Q16" s="811">
        <f>+'F10'!N12</f>
        <v>1.4199455264775003</v>
      </c>
      <c r="R16" s="811">
        <f>+'F10'!O12</f>
        <v>1.4209455264775002</v>
      </c>
      <c r="S16" s="811">
        <f>+'F10'!P12</f>
        <v>1.4288955264775001</v>
      </c>
      <c r="T16" s="811">
        <f>+'F10'!Q12</f>
        <v>1.4317299264775003</v>
      </c>
      <c r="U16" s="4"/>
    </row>
    <row r="17" spans="2:21" s="14" customFormat="1" ht="15.6" x14ac:dyDescent="0.25">
      <c r="B17" s="77">
        <f t="shared" si="3"/>
        <v>7</v>
      </c>
      <c r="C17" s="899" t="s">
        <v>108</v>
      </c>
      <c r="D17" s="79"/>
      <c r="E17" s="814">
        <f>SUM(E10:E16)</f>
        <v>45.119133475000005</v>
      </c>
      <c r="F17" s="814">
        <f t="shared" ref="F17:T17" si="4">SUM(F10:F16)</f>
        <v>45.937596190428842</v>
      </c>
      <c r="G17" s="814">
        <f t="shared" si="4"/>
        <v>0.81846271542883642</v>
      </c>
      <c r="H17" s="814">
        <f t="shared" ca="1" si="4"/>
        <v>43.199878409430141</v>
      </c>
      <c r="I17" s="814">
        <f t="shared" si="4"/>
        <v>43.461631066082276</v>
      </c>
      <c r="J17" s="814">
        <f t="shared" ref="J17" ca="1" si="5">SUM(J10:J16)</f>
        <v>0.26175265665213904</v>
      </c>
      <c r="K17" s="814">
        <f t="shared" ca="1" si="4"/>
        <v>40.949999011890462</v>
      </c>
      <c r="L17" s="814">
        <f t="shared" ca="1" si="4"/>
        <v>20.435195240674251</v>
      </c>
      <c r="M17" s="814">
        <f t="shared" ca="1" si="4"/>
        <v>20.797811692674252</v>
      </c>
      <c r="N17" s="814">
        <f t="shared" ca="1" si="4"/>
        <v>41.233006933348506</v>
      </c>
      <c r="O17" s="814">
        <f t="shared" ca="1" si="4"/>
        <v>0.28300792145804798</v>
      </c>
      <c r="P17" s="814">
        <f t="shared" ca="1" si="4"/>
        <v>18.380326286191675</v>
      </c>
      <c r="Q17" s="814">
        <f t="shared" ca="1" si="4"/>
        <v>18.216916117130847</v>
      </c>
      <c r="R17" s="814">
        <f t="shared" ca="1" si="4"/>
        <v>17.999010754088861</v>
      </c>
      <c r="S17" s="814">
        <f t="shared" ca="1" si="4"/>
        <v>18.085444965996427</v>
      </c>
      <c r="T17" s="814">
        <f t="shared" ca="1" si="4"/>
        <v>18.360697755468081</v>
      </c>
      <c r="U17" s="4"/>
    </row>
    <row r="18" spans="2:21" ht="15.6" x14ac:dyDescent="0.25">
      <c r="B18" s="77">
        <f t="shared" si="3"/>
        <v>8</v>
      </c>
      <c r="C18" s="539" t="s">
        <v>109</v>
      </c>
      <c r="D18" s="77" t="s">
        <v>37</v>
      </c>
      <c r="E18" s="810">
        <f>+'F7'!D22</f>
        <v>23.494649250000002</v>
      </c>
      <c r="F18" s="810">
        <f>+'F7'!E22+'F7'!E38</f>
        <v>25.442097014112605</v>
      </c>
      <c r="G18" s="810">
        <f t="shared" si="0"/>
        <v>1.9474477641126029</v>
      </c>
      <c r="H18" s="810">
        <f>+'F7'!G22</f>
        <v>23.576433499999997</v>
      </c>
      <c r="I18" s="810">
        <f>+'F7'!H22+'F7'!F38</f>
        <v>26.241754240085186</v>
      </c>
      <c r="J18" s="810">
        <f t="shared" si="1"/>
        <v>2.665320740085189</v>
      </c>
      <c r="K18" s="811">
        <f>+'F7'!J22</f>
        <v>23.691693000000001</v>
      </c>
      <c r="L18" s="811">
        <f>+N18/2</f>
        <v>11.863692568121124</v>
      </c>
      <c r="M18" s="811">
        <f>+N18/2</f>
        <v>11.863692568121124</v>
      </c>
      <c r="N18" s="811">
        <f>+'F7'!K22</f>
        <v>23.727385136242248</v>
      </c>
      <c r="O18" s="811">
        <f t="shared" si="2"/>
        <v>3.5692136242246875E-2</v>
      </c>
      <c r="P18" s="811">
        <f>+'F7'!D61</f>
        <v>26.573513191296893</v>
      </c>
      <c r="Q18" s="811">
        <f>+'F7'!E61</f>
        <v>26.871786958987862</v>
      </c>
      <c r="R18" s="811">
        <f>+'F7'!F61</f>
        <v>26.972643637933189</v>
      </c>
      <c r="S18" s="811">
        <f>+'F7'!G61</f>
        <v>27.094171991946371</v>
      </c>
      <c r="T18" s="811">
        <f>+'F7'!H61</f>
        <v>27.126112569689685</v>
      </c>
      <c r="U18" s="4"/>
    </row>
    <row r="19" spans="2:21" ht="15.6" x14ac:dyDescent="0.25">
      <c r="B19" s="77">
        <f t="shared" si="3"/>
        <v>9</v>
      </c>
      <c r="C19" s="899" t="s">
        <v>110</v>
      </c>
      <c r="D19" s="77"/>
      <c r="E19" s="815">
        <f>+E17+E18</f>
        <v>68.613782725000007</v>
      </c>
      <c r="F19" s="815">
        <f t="shared" ref="F19:T19" si="6">+F17+F18</f>
        <v>71.379693204541439</v>
      </c>
      <c r="G19" s="815">
        <f t="shared" si="6"/>
        <v>2.7659104795414393</v>
      </c>
      <c r="H19" s="815">
        <f ca="1">+H17+H18</f>
        <v>66.776311909430135</v>
      </c>
      <c r="I19" s="815">
        <f t="shared" si="6"/>
        <v>69.703385306167462</v>
      </c>
      <c r="J19" s="815">
        <f t="shared" ref="J19" ca="1" si="7">+J17+J18</f>
        <v>2.9270733967373279</v>
      </c>
      <c r="K19" s="815">
        <f ca="1">+K17+K18-0.01</f>
        <v>64.631692011890451</v>
      </c>
      <c r="L19" s="815">
        <f t="shared" ca="1" si="6"/>
        <v>32.298887808795371</v>
      </c>
      <c r="M19" s="815">
        <f t="shared" ca="1" si="6"/>
        <v>32.661504260795375</v>
      </c>
      <c r="N19" s="815">
        <f t="shared" ca="1" si="6"/>
        <v>64.960392069590753</v>
      </c>
      <c r="O19" s="815">
        <f t="shared" ca="1" si="6"/>
        <v>0.31870005770029486</v>
      </c>
      <c r="P19" s="815">
        <f t="shared" ca="1" si="6"/>
        <v>44.953839477488572</v>
      </c>
      <c r="Q19" s="815">
        <f t="shared" ca="1" si="6"/>
        <v>45.088703076118705</v>
      </c>
      <c r="R19" s="815">
        <f t="shared" ca="1" si="6"/>
        <v>44.971654392022046</v>
      </c>
      <c r="S19" s="815">
        <f t="shared" ca="1" si="6"/>
        <v>45.179616957942798</v>
      </c>
      <c r="T19" s="815">
        <f t="shared" ca="1" si="6"/>
        <v>45.486810325157762</v>
      </c>
      <c r="U19" s="4"/>
    </row>
    <row r="20" spans="2:21" ht="15.6" x14ac:dyDescent="0.25">
      <c r="B20" s="77">
        <f t="shared" si="3"/>
        <v>10</v>
      </c>
      <c r="C20" s="539" t="s">
        <v>111</v>
      </c>
      <c r="D20" s="77" t="s">
        <v>39</v>
      </c>
      <c r="E20" s="810">
        <f>+'F8'!D22</f>
        <v>1.07</v>
      </c>
      <c r="F20" s="810">
        <f>+'F8'!E22</f>
        <v>1.0655552512246327</v>
      </c>
      <c r="G20" s="810">
        <f t="shared" si="0"/>
        <v>-4.4447487753673798E-3</v>
      </c>
      <c r="H20" s="810">
        <f>+'F8'!G22</f>
        <v>1.17</v>
      </c>
      <c r="I20" s="810">
        <f>+'F8'!H22</f>
        <v>1.1658564682027326</v>
      </c>
      <c r="J20" s="810">
        <f t="shared" si="1"/>
        <v>-4.1435317972673413E-3</v>
      </c>
      <c r="K20" s="811">
        <f>+'F8'!J22</f>
        <v>1.27</v>
      </c>
      <c r="L20" s="811">
        <f>+'F8'!K22</f>
        <v>0.63221672693717279</v>
      </c>
      <c r="M20" s="811">
        <f>+'F8'!L22</f>
        <v>0.63221672693717279</v>
      </c>
      <c r="N20" s="811">
        <f>+'F8'!M22</f>
        <v>1.2644334538743456</v>
      </c>
      <c r="O20" s="811">
        <f t="shared" si="2"/>
        <v>-5.5665461256544368E-3</v>
      </c>
      <c r="P20" s="811">
        <f>+'F8'!O22</f>
        <v>1.3599220489675738</v>
      </c>
      <c r="Q20" s="811">
        <f>+'F8'!P22</f>
        <v>1.4541597017670043</v>
      </c>
      <c r="R20" s="811">
        <f>+'F8'!Q22</f>
        <v>1.5483973545664347</v>
      </c>
      <c r="S20" s="811">
        <f>+'F8'!R22</f>
        <v>1.6426350073658651</v>
      </c>
      <c r="T20" s="811">
        <f>+'F8'!S22</f>
        <v>1.7368726601652955</v>
      </c>
      <c r="U20" s="4"/>
    </row>
    <row r="21" spans="2:21" ht="15.6" x14ac:dyDescent="0.25">
      <c r="B21" s="77">
        <f t="shared" si="3"/>
        <v>11</v>
      </c>
      <c r="C21" s="539" t="s">
        <v>112</v>
      </c>
      <c r="D21" s="77"/>
      <c r="E21" s="810"/>
      <c r="F21" s="810"/>
      <c r="G21" s="810">
        <f t="shared" si="0"/>
        <v>0</v>
      </c>
      <c r="H21" s="810"/>
      <c r="I21" s="810"/>
      <c r="J21" s="810">
        <f t="shared" si="1"/>
        <v>0</v>
      </c>
      <c r="K21" s="811"/>
      <c r="L21" s="811"/>
      <c r="M21" s="811"/>
      <c r="N21" s="811"/>
      <c r="O21" s="811">
        <f t="shared" si="2"/>
        <v>0</v>
      </c>
      <c r="P21" s="811"/>
      <c r="Q21" s="811"/>
      <c r="R21" s="811"/>
      <c r="S21" s="811"/>
      <c r="T21" s="811"/>
      <c r="U21" s="4"/>
    </row>
    <row r="22" spans="2:21" ht="15.6" x14ac:dyDescent="0.25">
      <c r="B22" s="77">
        <f t="shared" si="3"/>
        <v>12</v>
      </c>
      <c r="C22" s="539" t="s">
        <v>113</v>
      </c>
      <c r="D22" s="77" t="s">
        <v>45</v>
      </c>
      <c r="E22" s="810"/>
      <c r="F22" s="810"/>
      <c r="G22" s="810">
        <f t="shared" si="0"/>
        <v>0</v>
      </c>
      <c r="H22" s="810"/>
      <c r="I22" s="810"/>
      <c r="J22" s="810">
        <f t="shared" si="1"/>
        <v>0</v>
      </c>
      <c r="K22" s="811"/>
      <c r="L22" s="811"/>
      <c r="M22" s="811"/>
      <c r="N22" s="811"/>
      <c r="O22" s="811">
        <f t="shared" si="2"/>
        <v>0</v>
      </c>
      <c r="P22" s="811"/>
      <c r="Q22" s="811"/>
      <c r="R22" s="811"/>
      <c r="S22" s="811"/>
      <c r="T22" s="811"/>
      <c r="U22" s="4"/>
    </row>
    <row r="23" spans="2:21" ht="31.2" x14ac:dyDescent="0.25">
      <c r="B23" s="77">
        <f t="shared" si="3"/>
        <v>13</v>
      </c>
      <c r="C23" s="762" t="s">
        <v>785</v>
      </c>
      <c r="D23" s="77"/>
      <c r="E23" s="810"/>
      <c r="F23" s="763">
        <f>'F13'!H11*2/3+'F13'!H15*2/3</f>
        <v>-0.7210850055894461</v>
      </c>
      <c r="G23" s="810">
        <f t="shared" si="0"/>
        <v>-0.7210850055894461</v>
      </c>
      <c r="H23" s="810"/>
      <c r="I23" s="763">
        <f>'F13'!H40*2/3+'F13'!H44*2/3</f>
        <v>-0.68639434292784141</v>
      </c>
      <c r="J23" s="810">
        <f t="shared" si="1"/>
        <v>-0.68639434292784141</v>
      </c>
      <c r="K23" s="811"/>
      <c r="L23" s="811"/>
      <c r="M23" s="811"/>
      <c r="N23" s="811"/>
      <c r="O23" s="811">
        <f t="shared" si="2"/>
        <v>0</v>
      </c>
      <c r="P23" s="811"/>
      <c r="Q23" s="811"/>
      <c r="R23" s="811"/>
      <c r="S23" s="811"/>
      <c r="T23" s="811"/>
      <c r="U23" s="538"/>
    </row>
    <row r="24" spans="2:21" ht="15.6" x14ac:dyDescent="0.25">
      <c r="B24" s="77">
        <f t="shared" si="3"/>
        <v>14</v>
      </c>
      <c r="C24" s="899" t="s">
        <v>784</v>
      </c>
      <c r="D24" s="76"/>
      <c r="E24" s="814">
        <f t="shared" ref="E24:T24" si="8">+E19-SUM(E20:E22)+SUM(E23:E23)</f>
        <v>67.543782725000014</v>
      </c>
      <c r="F24" s="814">
        <f t="shared" si="8"/>
        <v>69.593052947727358</v>
      </c>
      <c r="G24" s="814">
        <f t="shared" si="8"/>
        <v>2.0492702227273605</v>
      </c>
      <c r="H24" s="814">
        <f t="shared" ca="1" si="8"/>
        <v>65.606311909430133</v>
      </c>
      <c r="I24" s="814">
        <f t="shared" si="8"/>
        <v>67.851134495036888</v>
      </c>
      <c r="J24" s="814">
        <f t="shared" ca="1" si="8"/>
        <v>2.2448225856067534</v>
      </c>
      <c r="K24" s="814">
        <f t="shared" ca="1" si="8"/>
        <v>63.361692011890447</v>
      </c>
      <c r="L24" s="814">
        <f t="shared" ca="1" si="8"/>
        <v>31.666671081858198</v>
      </c>
      <c r="M24" s="814">
        <f t="shared" ca="1" si="8"/>
        <v>32.029287533858202</v>
      </c>
      <c r="N24" s="814">
        <f t="shared" ca="1" si="8"/>
        <v>63.695958615716407</v>
      </c>
      <c r="O24" s="814">
        <f t="shared" ca="1" si="8"/>
        <v>0.3242666038259493</v>
      </c>
      <c r="P24" s="814">
        <f t="shared" ca="1" si="8"/>
        <v>43.593917428520996</v>
      </c>
      <c r="Q24" s="814">
        <f t="shared" ca="1" si="8"/>
        <v>43.634543374351701</v>
      </c>
      <c r="R24" s="814">
        <f t="shared" ca="1" si="8"/>
        <v>43.423257037455613</v>
      </c>
      <c r="S24" s="814">
        <f t="shared" ca="1" si="8"/>
        <v>43.53698195057693</v>
      </c>
      <c r="T24" s="814">
        <f t="shared" ca="1" si="8"/>
        <v>43.749937664992466</v>
      </c>
      <c r="U24" s="538"/>
    </row>
    <row r="25" spans="2:21" ht="46.8" x14ac:dyDescent="0.25">
      <c r="B25" s="77">
        <f t="shared" si="3"/>
        <v>15</v>
      </c>
      <c r="C25" s="539" t="s">
        <v>878</v>
      </c>
      <c r="D25" s="76"/>
      <c r="E25" s="812"/>
      <c r="F25" s="812"/>
      <c r="G25" s="810">
        <f t="shared" si="0"/>
        <v>0</v>
      </c>
      <c r="H25" s="812">
        <v>0.92</v>
      </c>
      <c r="I25" s="812">
        <f>+Gap!E38</f>
        <v>1.218763484415442</v>
      </c>
      <c r="J25" s="810">
        <f t="shared" si="1"/>
        <v>0.29876348441544198</v>
      </c>
      <c r="K25" s="812">
        <v>0.92</v>
      </c>
      <c r="L25" s="812">
        <f>+N25/2</f>
        <v>0.60938174220772101</v>
      </c>
      <c r="M25" s="812">
        <f>+N25/2</f>
        <v>0.60938174220772101</v>
      </c>
      <c r="N25" s="812">
        <f>+Gap!F38</f>
        <v>1.218763484415442</v>
      </c>
      <c r="O25" s="811">
        <f t="shared" si="2"/>
        <v>0.29876348441544198</v>
      </c>
      <c r="P25" s="812"/>
      <c r="Q25" s="812"/>
      <c r="R25" s="811"/>
      <c r="S25" s="811"/>
      <c r="T25" s="811"/>
      <c r="U25" s="538"/>
    </row>
    <row r="26" spans="2:21" ht="15.6" x14ac:dyDescent="0.25">
      <c r="B26" s="77">
        <f t="shared" si="3"/>
        <v>16</v>
      </c>
      <c r="C26" s="761" t="s">
        <v>786</v>
      </c>
      <c r="D26" s="76"/>
      <c r="E26" s="812"/>
      <c r="F26" s="812"/>
      <c r="G26" s="810">
        <f t="shared" si="0"/>
        <v>0</v>
      </c>
      <c r="H26" s="812"/>
      <c r="I26" s="812"/>
      <c r="J26" s="810">
        <f t="shared" si="1"/>
        <v>0</v>
      </c>
      <c r="K26" s="812"/>
      <c r="L26" s="812"/>
      <c r="M26" s="812"/>
      <c r="N26" s="812"/>
      <c r="O26" s="811">
        <f t="shared" si="2"/>
        <v>0</v>
      </c>
      <c r="P26" s="812">
        <f t="array" ref="P26:P28">TRANSPOSE(Gap!E6:G6)</f>
        <v>1.5107517477273547</v>
      </c>
      <c r="Q26" s="812"/>
      <c r="R26" s="811"/>
      <c r="S26" s="811"/>
      <c r="T26" s="811"/>
      <c r="U26" s="538"/>
    </row>
    <row r="27" spans="2:21" ht="15.6" x14ac:dyDescent="0.25">
      <c r="B27" s="77">
        <f t="shared" si="3"/>
        <v>17</v>
      </c>
      <c r="C27" s="761" t="s">
        <v>787</v>
      </c>
      <c r="D27" s="76"/>
      <c r="E27" s="812"/>
      <c r="F27" s="812"/>
      <c r="G27" s="810">
        <f t="shared" si="0"/>
        <v>0</v>
      </c>
      <c r="H27" s="812"/>
      <c r="I27" s="812"/>
      <c r="J27" s="810">
        <f t="shared" si="1"/>
        <v>0</v>
      </c>
      <c r="K27" s="812"/>
      <c r="L27" s="812"/>
      <c r="M27" s="812"/>
      <c r="N27" s="812"/>
      <c r="O27" s="811">
        <f t="shared" si="2"/>
        <v>0</v>
      </c>
      <c r="P27" s="812">
        <v>1.3980364794523155</v>
      </c>
      <c r="Q27" s="812"/>
      <c r="R27" s="811"/>
      <c r="S27" s="811"/>
      <c r="T27" s="811"/>
      <c r="U27" s="538"/>
    </row>
    <row r="28" spans="2:21" ht="15.6" x14ac:dyDescent="0.25">
      <c r="B28" s="77">
        <f t="shared" si="3"/>
        <v>18</v>
      </c>
      <c r="C28" s="761" t="s">
        <v>788</v>
      </c>
      <c r="D28" s="76"/>
      <c r="E28" s="812"/>
      <c r="F28" s="812"/>
      <c r="G28" s="810">
        <f t="shared" si="0"/>
        <v>0</v>
      </c>
      <c r="H28" s="812"/>
      <c r="I28" s="812"/>
      <c r="J28" s="810">
        <f t="shared" si="1"/>
        <v>0</v>
      </c>
      <c r="K28" s="812"/>
      <c r="L28" s="812"/>
      <c r="M28" s="812"/>
      <c r="N28" s="812"/>
      <c r="O28" s="811">
        <f t="shared" si="2"/>
        <v>0</v>
      </c>
      <c r="P28" s="812">
        <f ca="1"/>
        <v>0.63303008824141216</v>
      </c>
      <c r="Q28" s="812"/>
      <c r="R28" s="811"/>
      <c r="S28" s="811"/>
      <c r="T28" s="811"/>
      <c r="U28" s="538"/>
    </row>
    <row r="29" spans="2:21" ht="31.2" x14ac:dyDescent="0.25">
      <c r="B29" s="77">
        <f t="shared" si="3"/>
        <v>19</v>
      </c>
      <c r="C29" s="761" t="s">
        <v>789</v>
      </c>
      <c r="D29" s="76"/>
      <c r="E29" s="812"/>
      <c r="F29" s="812"/>
      <c r="G29" s="810">
        <f t="shared" si="0"/>
        <v>0</v>
      </c>
      <c r="H29" s="812"/>
      <c r="I29" s="812"/>
      <c r="J29" s="810">
        <f t="shared" si="1"/>
        <v>0</v>
      </c>
      <c r="K29" s="812"/>
      <c r="L29" s="812"/>
      <c r="M29" s="812"/>
      <c r="N29" s="812"/>
      <c r="O29" s="811">
        <f t="shared" si="2"/>
        <v>0</v>
      </c>
      <c r="P29" s="812">
        <f>+Gap!E18</f>
        <v>0.74861016983744189</v>
      </c>
      <c r="Q29" s="812"/>
      <c r="R29" s="811"/>
      <c r="S29" s="811"/>
      <c r="T29" s="811"/>
      <c r="U29" s="538"/>
    </row>
    <row r="30" spans="2:21" ht="15.6" x14ac:dyDescent="0.25">
      <c r="B30" s="77">
        <f t="shared" si="3"/>
        <v>20</v>
      </c>
      <c r="C30" s="899"/>
      <c r="D30" s="76"/>
      <c r="E30" s="812"/>
      <c r="F30" s="812"/>
      <c r="G30" s="810">
        <f t="shared" si="0"/>
        <v>0</v>
      </c>
      <c r="H30" s="812"/>
      <c r="I30" s="812"/>
      <c r="J30" s="810">
        <f t="shared" si="1"/>
        <v>0</v>
      </c>
      <c r="K30" s="812"/>
      <c r="L30" s="812"/>
      <c r="M30" s="812"/>
      <c r="N30" s="812"/>
      <c r="O30" s="811">
        <f t="shared" si="2"/>
        <v>0</v>
      </c>
      <c r="P30" s="812"/>
      <c r="Q30" s="812"/>
      <c r="R30" s="811"/>
      <c r="S30" s="811"/>
      <c r="T30" s="811"/>
      <c r="U30" s="538"/>
    </row>
    <row r="31" spans="2:21" ht="31.2" x14ac:dyDescent="0.25">
      <c r="B31" s="77">
        <f t="shared" si="3"/>
        <v>21</v>
      </c>
      <c r="C31" s="899" t="s">
        <v>114</v>
      </c>
      <c r="D31" s="76"/>
      <c r="E31" s="814">
        <f>SUM(E24:E30)</f>
        <v>67.543782725000014</v>
      </c>
      <c r="F31" s="814">
        <f>SUM(F24:F30)</f>
        <v>69.593052947727358</v>
      </c>
      <c r="G31" s="814">
        <f>SUM(G24:G30)</f>
        <v>2.0492702227273605</v>
      </c>
      <c r="H31" s="814">
        <f ca="1">SUM(H24:H30)+0.01</f>
        <v>66.53631190943014</v>
      </c>
      <c r="I31" s="814">
        <f t="shared" ref="I31:T31" si="9">SUM(I24:I30)</f>
        <v>69.069897979452335</v>
      </c>
      <c r="J31" s="814">
        <f t="shared" ca="1" si="9"/>
        <v>2.5435860700221955</v>
      </c>
      <c r="K31" s="814">
        <f t="shared" ca="1" si="9"/>
        <v>64.281692011890442</v>
      </c>
      <c r="L31" s="814">
        <f t="shared" ca="1" si="9"/>
        <v>32.276052824065921</v>
      </c>
      <c r="M31" s="814">
        <f t="shared" ca="1" si="9"/>
        <v>32.638669276065926</v>
      </c>
      <c r="N31" s="814">
        <f t="shared" ca="1" si="9"/>
        <v>64.914722100131854</v>
      </c>
      <c r="O31" s="814">
        <f t="shared" ca="1" si="9"/>
        <v>0.62303008824139128</v>
      </c>
      <c r="P31" s="814">
        <f t="shared" ca="1" si="9"/>
        <v>47.884345913779519</v>
      </c>
      <c r="Q31" s="814">
        <f t="shared" ca="1" si="9"/>
        <v>43.634543374351701</v>
      </c>
      <c r="R31" s="814">
        <f t="shared" ca="1" si="9"/>
        <v>43.423257037455613</v>
      </c>
      <c r="S31" s="814">
        <f t="shared" ca="1" si="9"/>
        <v>43.53698195057693</v>
      </c>
      <c r="T31" s="814">
        <f t="shared" ca="1" si="9"/>
        <v>43.749937664992466</v>
      </c>
      <c r="U31" s="538"/>
    </row>
    <row r="32" spans="2:21" ht="15.6" x14ac:dyDescent="0.25">
      <c r="B32" s="536"/>
      <c r="C32" s="900"/>
      <c r="D32" s="81"/>
      <c r="E32" s="81"/>
      <c r="F32" s="81"/>
      <c r="G32" s="81"/>
      <c r="H32" s="81"/>
      <c r="I32" s="81"/>
      <c r="J32" s="81"/>
      <c r="K32" s="81"/>
      <c r="L32" s="81"/>
      <c r="M32" s="81"/>
      <c r="N32" s="81"/>
      <c r="O32" s="81"/>
      <c r="P32" s="81"/>
      <c r="Q32" s="81"/>
      <c r="R32" s="81"/>
      <c r="S32" s="81"/>
    </row>
    <row r="33" spans="2:5" x14ac:dyDescent="0.25">
      <c r="B33" s="75" t="s">
        <v>115</v>
      </c>
    </row>
    <row r="34" spans="2:5" x14ac:dyDescent="0.25">
      <c r="B34" s="933" t="s">
        <v>116</v>
      </c>
      <c r="C34" s="933"/>
      <c r="D34" s="933"/>
      <c r="E34" s="933"/>
    </row>
  </sheetData>
  <mergeCells count="12">
    <mergeCell ref="B34:E34"/>
    <mergeCell ref="B2:U2"/>
    <mergeCell ref="B3:U3"/>
    <mergeCell ref="B4:U4"/>
    <mergeCell ref="P7:T7"/>
    <mergeCell ref="U7:U9"/>
    <mergeCell ref="B7:B9"/>
    <mergeCell ref="C7:C9"/>
    <mergeCell ref="D7:D9"/>
    <mergeCell ref="H7:J7"/>
    <mergeCell ref="K7:O7"/>
    <mergeCell ref="E7:G7"/>
  </mergeCells>
  <phoneticPr fontId="0" type="noConversion"/>
  <printOptions horizontalCentered="1" verticalCentered="1"/>
  <pageMargins left="0.28000000000000003" right="0.23622047244094491" top="0.32" bottom="0.98425196850393704" header="0.23622047244094491" footer="0.23622047244094491"/>
  <pageSetup paperSize="9" scale="5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Y34"/>
  <sheetViews>
    <sheetView showGridLines="0" view="pageBreakPreview" zoomScale="60" zoomScaleNormal="75" workbookViewId="0">
      <selection activeCell="N17" sqref="N17"/>
    </sheetView>
  </sheetViews>
  <sheetFormatPr defaultColWidth="9.33203125" defaultRowHeight="13.8" x14ac:dyDescent="0.25"/>
  <cols>
    <col min="1" max="1" width="4.5546875" style="1" customWidth="1"/>
    <col min="2" max="2" width="6.6640625" style="404" customWidth="1"/>
    <col min="3" max="3" width="37.44140625" style="1" customWidth="1"/>
    <col min="4" max="4" width="13" style="1" customWidth="1"/>
    <col min="5" max="5" width="11.33203125" style="1" customWidth="1"/>
    <col min="6" max="6" width="14" style="1" customWidth="1"/>
    <col min="7" max="7" width="14.88671875" style="1" customWidth="1"/>
    <col min="8" max="8" width="10.33203125" style="1" customWidth="1"/>
    <col min="9" max="9" width="12.6640625" style="1" customWidth="1"/>
    <col min="10" max="10" width="16.33203125" style="1" customWidth="1"/>
    <col min="11" max="11" width="10.5546875" style="1" customWidth="1"/>
    <col min="12" max="12" width="11.44140625" style="1" bestFit="1" customWidth="1"/>
    <col min="13" max="13" width="14.88671875" style="1" bestFit="1" customWidth="1"/>
    <col min="14" max="14" width="16.6640625" style="1" bestFit="1" customWidth="1"/>
    <col min="15" max="15" width="15.109375" style="1" customWidth="1"/>
    <col min="16" max="20" width="12.6640625" style="1" customWidth="1"/>
    <col min="21" max="24" width="16.6640625" style="1" customWidth="1"/>
    <col min="25" max="25" width="21.33203125" style="1" customWidth="1"/>
    <col min="26" max="16384" width="9.33203125" style="1"/>
  </cols>
  <sheetData>
    <row r="1" spans="2:25" x14ac:dyDescent="0.25">
      <c r="B1" s="411"/>
    </row>
    <row r="2" spans="2:25" x14ac:dyDescent="0.25">
      <c r="B2" s="964" t="str">
        <f>Index!$B$2</f>
        <v>JAIGAD POWER TRANSCO LIMITED (JPTL)</v>
      </c>
      <c r="C2" s="964"/>
      <c r="D2" s="964"/>
      <c r="E2" s="964"/>
      <c r="F2" s="964"/>
      <c r="G2" s="964"/>
      <c r="H2" s="964"/>
      <c r="I2" s="964"/>
      <c r="J2" s="964"/>
      <c r="K2" s="964"/>
      <c r="L2" s="964"/>
      <c r="M2" s="964"/>
      <c r="N2" s="964"/>
      <c r="O2" s="964"/>
      <c r="P2" s="964"/>
      <c r="Q2" s="964"/>
      <c r="R2" s="964"/>
      <c r="S2" s="964"/>
      <c r="T2" s="8"/>
      <c r="U2" s="8"/>
      <c r="V2" s="8"/>
      <c r="W2" s="8"/>
      <c r="X2" s="8"/>
      <c r="Y2" s="8"/>
    </row>
    <row r="3" spans="2:25" x14ac:dyDescent="0.25">
      <c r="B3" s="965" t="s">
        <v>117</v>
      </c>
      <c r="C3" s="965"/>
      <c r="D3" s="965"/>
      <c r="E3" s="965"/>
      <c r="F3" s="965"/>
      <c r="G3" s="965"/>
      <c r="H3" s="965"/>
      <c r="I3" s="965"/>
      <c r="J3" s="965"/>
      <c r="K3" s="965"/>
      <c r="L3" s="965"/>
      <c r="M3" s="965"/>
      <c r="N3" s="965"/>
      <c r="O3" s="965"/>
      <c r="P3" s="965"/>
      <c r="Q3" s="965"/>
      <c r="R3" s="965"/>
      <c r="S3" s="965"/>
      <c r="T3" s="410"/>
      <c r="U3" s="410"/>
      <c r="V3" s="410"/>
      <c r="W3" s="410"/>
      <c r="X3" s="410"/>
      <c r="Y3" s="410"/>
    </row>
    <row r="4" spans="2:25" x14ac:dyDescent="0.25">
      <c r="B4" s="964" t="s">
        <v>118</v>
      </c>
      <c r="C4" s="964"/>
      <c r="D4" s="964"/>
      <c r="E4" s="964"/>
      <c r="F4" s="964"/>
      <c r="G4" s="964"/>
      <c r="H4" s="964"/>
      <c r="I4" s="964"/>
      <c r="J4" s="964"/>
      <c r="K4" s="964"/>
      <c r="L4" s="964"/>
      <c r="M4" s="964"/>
      <c r="N4" s="964"/>
      <c r="O4" s="964"/>
      <c r="P4" s="964"/>
      <c r="Q4" s="964"/>
      <c r="R4" s="964"/>
      <c r="S4" s="964"/>
      <c r="T4" s="8"/>
      <c r="U4" s="8"/>
      <c r="V4" s="8"/>
      <c r="W4" s="8"/>
      <c r="X4" s="8"/>
      <c r="Y4" s="8"/>
    </row>
    <row r="5" spans="2:25" x14ac:dyDescent="0.25">
      <c r="B5" s="411"/>
      <c r="C5" s="411"/>
      <c r="D5" s="411"/>
      <c r="E5" s="411"/>
      <c r="F5" s="411"/>
      <c r="G5" s="411"/>
      <c r="H5" s="411"/>
      <c r="I5" s="411"/>
      <c r="J5" s="411"/>
      <c r="K5" s="411"/>
      <c r="L5" s="411"/>
      <c r="M5" s="411"/>
      <c r="N5" s="411"/>
      <c r="O5" s="411"/>
      <c r="P5" s="411"/>
      <c r="Q5" s="411"/>
      <c r="R5" s="411"/>
      <c r="S5" s="411"/>
      <c r="T5" s="8"/>
      <c r="U5" s="8"/>
      <c r="V5" s="8"/>
      <c r="W5" s="8"/>
      <c r="X5" s="8"/>
      <c r="Y5" s="8"/>
    </row>
    <row r="6" spans="2:25" s="19" customFormat="1" ht="20.25" customHeight="1" x14ac:dyDescent="0.25">
      <c r="B6" s="938" t="s">
        <v>1</v>
      </c>
      <c r="C6" s="943" t="s">
        <v>74</v>
      </c>
      <c r="D6" s="943" t="s">
        <v>3</v>
      </c>
      <c r="E6" s="945" t="s">
        <v>75</v>
      </c>
      <c r="F6" s="946"/>
      <c r="G6" s="947"/>
      <c r="H6" s="945" t="s">
        <v>76</v>
      </c>
      <c r="I6" s="946"/>
      <c r="J6" s="947"/>
      <c r="K6" s="945" t="s">
        <v>77</v>
      </c>
      <c r="L6" s="946"/>
      <c r="M6" s="946"/>
      <c r="N6" s="946"/>
      <c r="O6" s="947"/>
      <c r="P6" s="936" t="s">
        <v>78</v>
      </c>
      <c r="Q6" s="936"/>
      <c r="R6" s="936"/>
      <c r="S6" s="936"/>
      <c r="T6" s="936"/>
      <c r="U6" s="936" t="s">
        <v>79</v>
      </c>
    </row>
    <row r="7" spans="2:25" s="19" customFormat="1" ht="59.25" customHeight="1" x14ac:dyDescent="0.25">
      <c r="B7" s="939"/>
      <c r="C7" s="943"/>
      <c r="D7" s="943"/>
      <c r="E7" s="418" t="s">
        <v>80</v>
      </c>
      <c r="F7" s="418" t="s">
        <v>81</v>
      </c>
      <c r="G7" s="418" t="s">
        <v>82</v>
      </c>
      <c r="H7" s="418" t="s">
        <v>80</v>
      </c>
      <c r="I7" s="418" t="s">
        <v>81</v>
      </c>
      <c r="J7" s="418" t="s">
        <v>82</v>
      </c>
      <c r="K7" s="418" t="s">
        <v>80</v>
      </c>
      <c r="L7" s="418" t="s">
        <v>83</v>
      </c>
      <c r="M7" s="418" t="s">
        <v>84</v>
      </c>
      <c r="N7" s="418" t="s">
        <v>85</v>
      </c>
      <c r="O7" s="418" t="s">
        <v>86</v>
      </c>
      <c r="P7" s="418" t="s">
        <v>87</v>
      </c>
      <c r="Q7" s="418" t="s">
        <v>88</v>
      </c>
      <c r="R7" s="418" t="s">
        <v>89</v>
      </c>
      <c r="S7" s="418" t="s">
        <v>90</v>
      </c>
      <c r="T7" s="418" t="s">
        <v>91</v>
      </c>
      <c r="U7" s="936"/>
    </row>
    <row r="8" spans="2:25" s="19" customFormat="1" ht="28.5" customHeight="1" x14ac:dyDescent="0.25">
      <c r="B8" s="956"/>
      <c r="C8" s="957"/>
      <c r="D8" s="957"/>
      <c r="E8" s="418" t="s">
        <v>92</v>
      </c>
      <c r="F8" s="418" t="s">
        <v>93</v>
      </c>
      <c r="G8" s="418" t="s">
        <v>94</v>
      </c>
      <c r="H8" s="418" t="s">
        <v>95</v>
      </c>
      <c r="I8" s="418" t="s">
        <v>96</v>
      </c>
      <c r="J8" s="418" t="s">
        <v>97</v>
      </c>
      <c r="K8" s="418" t="s">
        <v>98</v>
      </c>
      <c r="L8" s="418" t="s">
        <v>99</v>
      </c>
      <c r="M8" s="418" t="s">
        <v>100</v>
      </c>
      <c r="N8" s="418" t="s">
        <v>101</v>
      </c>
      <c r="O8" s="418" t="s">
        <v>102</v>
      </c>
      <c r="P8" s="418" t="s">
        <v>103</v>
      </c>
      <c r="Q8" s="418" t="s">
        <v>103</v>
      </c>
      <c r="R8" s="418" t="s">
        <v>103</v>
      </c>
      <c r="S8" s="418" t="s">
        <v>103</v>
      </c>
      <c r="T8" s="418" t="s">
        <v>103</v>
      </c>
      <c r="U8" s="937"/>
    </row>
    <row r="9" spans="2:25" s="9" customFormat="1" ht="15" customHeight="1" x14ac:dyDescent="0.25">
      <c r="B9" s="18">
        <v>1</v>
      </c>
      <c r="C9" s="10" t="s">
        <v>119</v>
      </c>
      <c r="D9" s="128" t="s">
        <v>9</v>
      </c>
      <c r="E9" s="519">
        <f>+'F2.1 '!D67</f>
        <v>4.8746</v>
      </c>
      <c r="F9" s="520">
        <f>+'F2.1 '!E67</f>
        <v>4.8746</v>
      </c>
      <c r="G9" s="519">
        <f>+F9-E9</f>
        <v>0</v>
      </c>
      <c r="H9" s="519">
        <f>+'F2.1 '!I67</f>
        <v>5.0686</v>
      </c>
      <c r="I9" s="519">
        <f>+'F2.1 '!J67</f>
        <v>5.0686</v>
      </c>
      <c r="J9" s="521">
        <f>+I9-H9</f>
        <v>0</v>
      </c>
      <c r="K9" s="521">
        <f>+'F2.1 '!N67</f>
        <v>5.2674000000000003</v>
      </c>
      <c r="L9" s="511">
        <f>+N9/2</f>
        <v>2.7404841000000002</v>
      </c>
      <c r="M9" s="522">
        <f>+N9/2</f>
        <v>2.7404841000000002</v>
      </c>
      <c r="N9" s="522">
        <f>+'F2.1 '!O67+'F2.5'!G21</f>
        <v>5.4809682000000004</v>
      </c>
      <c r="O9" s="521">
        <f>+N9-K9</f>
        <v>0.2135682000000001</v>
      </c>
      <c r="P9" s="759">
        <f>+'F2.1 '!S67</f>
        <v>5.6151999999999997</v>
      </c>
      <c r="Q9" s="759">
        <f>+'F2.1 '!W67</f>
        <v>5.8536000000000001</v>
      </c>
      <c r="R9" s="759">
        <f>+'F2.1 '!AA67</f>
        <v>6.1322000000000001</v>
      </c>
      <c r="S9" s="759">
        <f>+'F2.1 '!AE67</f>
        <v>6.3861999999999997</v>
      </c>
      <c r="T9" s="759">
        <f>+'F2.1 '!AI67</f>
        <v>6.6815999999999995</v>
      </c>
      <c r="U9" s="10"/>
    </row>
    <row r="10" spans="2:25" s="9" customFormat="1" ht="15" customHeight="1" x14ac:dyDescent="0.25">
      <c r="B10" s="18">
        <f>B9+1</f>
        <v>2</v>
      </c>
      <c r="C10" s="45" t="s">
        <v>120</v>
      </c>
      <c r="D10" s="128" t="s">
        <v>13</v>
      </c>
      <c r="E10" s="412"/>
      <c r="F10" s="513">
        <f>+'F2.3'!D36</f>
        <v>1.730015458</v>
      </c>
      <c r="G10" s="529"/>
      <c r="H10" s="958"/>
      <c r="I10" s="530">
        <f>+'F2.3'!E36</f>
        <v>1.8072690000000002</v>
      </c>
      <c r="J10" s="961"/>
      <c r="K10" s="961"/>
      <c r="L10" s="522">
        <f>+'F2.3'!F36</f>
        <v>0.88248174999999995</v>
      </c>
      <c r="M10" s="522">
        <f>+'F2.3'!G36</f>
        <v>0.88248174999999995</v>
      </c>
      <c r="N10" s="522">
        <f>+L10+M10</f>
        <v>1.7649634999999999</v>
      </c>
      <c r="O10" s="961"/>
      <c r="P10" s="961"/>
      <c r="Q10" s="961"/>
      <c r="R10" s="961"/>
      <c r="S10" s="961"/>
      <c r="T10" s="966"/>
      <c r="U10" s="531"/>
    </row>
    <row r="11" spans="2:25" s="9" customFormat="1" x14ac:dyDescent="0.25">
      <c r="B11" s="18">
        <f t="shared" ref="B11:B13" si="0">B10+1</f>
        <v>3</v>
      </c>
      <c r="C11" s="45" t="s">
        <v>121</v>
      </c>
      <c r="D11" s="128" t="s">
        <v>15</v>
      </c>
      <c r="E11" s="413"/>
      <c r="F11" s="513">
        <f>+'F2.4'!D40</f>
        <v>1.5926437270000002</v>
      </c>
      <c r="G11" s="532"/>
      <c r="H11" s="959"/>
      <c r="I11" s="530">
        <f>+'F2.4'!E40</f>
        <v>1.1732776999999999</v>
      </c>
      <c r="J11" s="962"/>
      <c r="K11" s="962"/>
      <c r="L11" s="522">
        <f>+'F2.4'!F40</f>
        <v>0.58456274999999991</v>
      </c>
      <c r="M11" s="522">
        <f>+'F2.4'!G40</f>
        <v>1.1345627500000002</v>
      </c>
      <c r="N11" s="522">
        <f t="shared" ref="N11:N12" si="1">+L11+M11</f>
        <v>1.7191255000000001</v>
      </c>
      <c r="O11" s="962"/>
      <c r="P11" s="962"/>
      <c r="Q11" s="962"/>
      <c r="R11" s="962"/>
      <c r="S11" s="962"/>
      <c r="T11" s="967"/>
      <c r="U11" s="531"/>
    </row>
    <row r="12" spans="2:25" s="9" customFormat="1" x14ac:dyDescent="0.25">
      <c r="B12" s="18">
        <f t="shared" si="0"/>
        <v>4</v>
      </c>
      <c r="C12" s="45" t="s">
        <v>122</v>
      </c>
      <c r="D12" s="128" t="s">
        <v>17</v>
      </c>
      <c r="E12" s="414"/>
      <c r="F12" s="513">
        <f>+'F2.5'!D23</f>
        <v>2.3158601720000003</v>
      </c>
      <c r="G12" s="533"/>
      <c r="H12" s="960"/>
      <c r="I12" s="530">
        <f>+'F2.5'!E23</f>
        <v>2.6116185999999999</v>
      </c>
      <c r="J12" s="963"/>
      <c r="K12" s="963"/>
      <c r="L12" s="522">
        <f>+'F2.5'!F23</f>
        <v>0.98968100000000003</v>
      </c>
      <c r="M12" s="522">
        <f>+'F2.5'!G23</f>
        <v>0.95183694800000007</v>
      </c>
      <c r="N12" s="522">
        <f t="shared" si="1"/>
        <v>1.941517948</v>
      </c>
      <c r="O12" s="963"/>
      <c r="P12" s="963"/>
      <c r="Q12" s="963"/>
      <c r="R12" s="963"/>
      <c r="S12" s="963"/>
      <c r="T12" s="968"/>
      <c r="U12" s="531"/>
    </row>
    <row r="13" spans="2:25" s="905" customFormat="1" ht="27.6" x14ac:dyDescent="0.25">
      <c r="B13" s="149">
        <f t="shared" si="0"/>
        <v>5</v>
      </c>
      <c r="C13" s="901" t="s">
        <v>123</v>
      </c>
      <c r="D13" s="902"/>
      <c r="E13" s="523">
        <f>SUM(E9:E12)</f>
        <v>4.8746</v>
      </c>
      <c r="F13" s="523">
        <f>SUM(F10:F12)</f>
        <v>5.6385193569999998</v>
      </c>
      <c r="G13" s="519">
        <f>+F13-E13</f>
        <v>0.7639193569999998</v>
      </c>
      <c r="H13" s="523">
        <f>SUM(H9:H12)</f>
        <v>5.0686</v>
      </c>
      <c r="I13" s="523">
        <f>SUM(I10:I12)</f>
        <v>5.5921652999999996</v>
      </c>
      <c r="J13" s="903">
        <f>+I13-H13</f>
        <v>0.52356529999999957</v>
      </c>
      <c r="K13" s="523">
        <f>SUM(K9:K12)</f>
        <v>5.2674000000000003</v>
      </c>
      <c r="L13" s="523">
        <f>SUM(L10:L12)</f>
        <v>2.4567255000000001</v>
      </c>
      <c r="M13" s="523">
        <f>SUM(M10:M12)</f>
        <v>2.9688814479999999</v>
      </c>
      <c r="N13" s="523">
        <f>SUM(N10:N12)</f>
        <v>5.4256069480000004</v>
      </c>
      <c r="O13" s="903">
        <f>+N13-K13</f>
        <v>0.15820694800000012</v>
      </c>
      <c r="P13" s="523">
        <f t="shared" ref="P13:T13" si="2">SUM(P9:P12)</f>
        <v>5.6151999999999997</v>
      </c>
      <c r="Q13" s="523">
        <f t="shared" si="2"/>
        <v>5.8536000000000001</v>
      </c>
      <c r="R13" s="523">
        <f t="shared" si="2"/>
        <v>6.1322000000000001</v>
      </c>
      <c r="S13" s="523">
        <f t="shared" si="2"/>
        <v>6.3861999999999997</v>
      </c>
      <c r="T13" s="523">
        <f t="shared" si="2"/>
        <v>6.6815999999999995</v>
      </c>
      <c r="U13" s="904"/>
    </row>
    <row r="14" spans="2:25" x14ac:dyDescent="0.25">
      <c r="K14" s="789"/>
    </row>
    <row r="15" spans="2:25" x14ac:dyDescent="0.25">
      <c r="B15" s="19" t="s">
        <v>124</v>
      </c>
      <c r="N15" s="581"/>
    </row>
    <row r="18" spans="2:12" x14ac:dyDescent="0.25">
      <c r="B18" s="951" t="s">
        <v>125</v>
      </c>
      <c r="C18" s="951"/>
      <c r="D18" s="951"/>
      <c r="E18" s="951"/>
      <c r="F18" s="951"/>
      <c r="G18" s="951"/>
      <c r="H18" s="951"/>
      <c r="I18" s="231"/>
    </row>
    <row r="19" spans="2:12" x14ac:dyDescent="0.25">
      <c r="B19" s="231"/>
      <c r="C19" s="231"/>
      <c r="D19" s="231"/>
      <c r="E19" s="231"/>
      <c r="F19" s="231"/>
      <c r="G19" s="231"/>
      <c r="H19" s="284" t="s">
        <v>73</v>
      </c>
      <c r="I19" s="231"/>
    </row>
    <row r="20" spans="2:12" x14ac:dyDescent="0.25">
      <c r="B20" s="952" t="s">
        <v>1</v>
      </c>
      <c r="C20" s="952" t="s">
        <v>74</v>
      </c>
      <c r="D20" s="954" t="s">
        <v>876</v>
      </c>
      <c r="E20" s="954"/>
      <c r="F20" s="588"/>
      <c r="G20" s="955" t="s">
        <v>78</v>
      </c>
      <c r="H20" s="955"/>
      <c r="I20" s="955"/>
      <c r="J20" s="955"/>
      <c r="K20" s="955"/>
      <c r="L20" s="948" t="s">
        <v>79</v>
      </c>
    </row>
    <row r="21" spans="2:12" ht="27.75" customHeight="1" x14ac:dyDescent="0.25">
      <c r="B21" s="952"/>
      <c r="C21" s="953"/>
      <c r="D21" s="418" t="s">
        <v>75</v>
      </c>
      <c r="E21" s="418" t="s">
        <v>76</v>
      </c>
      <c r="F21" s="418" t="s">
        <v>77</v>
      </c>
      <c r="G21" s="418" t="s">
        <v>87</v>
      </c>
      <c r="H21" s="418" t="s">
        <v>88</v>
      </c>
      <c r="I21" s="418" t="s">
        <v>89</v>
      </c>
      <c r="J21" s="418" t="s">
        <v>90</v>
      </c>
      <c r="K21" s="418" t="s">
        <v>91</v>
      </c>
      <c r="L21" s="949"/>
    </row>
    <row r="22" spans="2:12" x14ac:dyDescent="0.25">
      <c r="B22" s="952"/>
      <c r="C22" s="953"/>
      <c r="D22" s="422" t="s">
        <v>293</v>
      </c>
      <c r="E22" s="422" t="s">
        <v>293</v>
      </c>
      <c r="F22" s="422" t="s">
        <v>135</v>
      </c>
      <c r="G22" s="422" t="s">
        <v>126</v>
      </c>
      <c r="H22" s="422" t="s">
        <v>126</v>
      </c>
      <c r="I22" s="422" t="s">
        <v>126</v>
      </c>
      <c r="J22" s="422" t="s">
        <v>126</v>
      </c>
      <c r="K22" s="422" t="s">
        <v>126</v>
      </c>
      <c r="L22" s="950"/>
    </row>
    <row r="23" spans="2:12" x14ac:dyDescent="0.25">
      <c r="B23" s="285">
        <v>1</v>
      </c>
      <c r="C23" s="237" t="s">
        <v>127</v>
      </c>
      <c r="D23" s="11"/>
      <c r="E23" s="11"/>
      <c r="F23" s="11"/>
      <c r="G23" s="237"/>
      <c r="H23" s="237"/>
      <c r="I23" s="237"/>
      <c r="J23" s="237"/>
      <c r="K23" s="237"/>
      <c r="L23" s="237"/>
    </row>
    <row r="24" spans="2:12" x14ac:dyDescent="0.25">
      <c r="B24" s="423">
        <v>2</v>
      </c>
      <c r="C24" s="237" t="s">
        <v>128</v>
      </c>
      <c r="D24" s="11"/>
      <c r="E24" s="11"/>
      <c r="F24" s="11"/>
      <c r="G24" s="237"/>
      <c r="H24" s="237"/>
      <c r="I24" s="237"/>
      <c r="J24" s="237"/>
      <c r="K24" s="237"/>
      <c r="L24" s="237"/>
    </row>
    <row r="25" spans="2:12" x14ac:dyDescent="0.25">
      <c r="B25" s="423">
        <v>3</v>
      </c>
      <c r="C25" s="237" t="s">
        <v>129</v>
      </c>
      <c r="D25" s="11"/>
      <c r="E25" s="580">
        <f>+'F2.5'!E22</f>
        <v>0.15251500000000001</v>
      </c>
      <c r="F25" s="844">
        <v>0.25229745199999998</v>
      </c>
      <c r="G25" s="844">
        <v>0.25</v>
      </c>
      <c r="H25" s="237"/>
      <c r="I25" s="237"/>
      <c r="J25" s="237"/>
      <c r="K25" s="237"/>
      <c r="L25" s="237"/>
    </row>
    <row r="26" spans="2:12" x14ac:dyDescent="0.25">
      <c r="B26" s="423">
        <v>4</v>
      </c>
      <c r="C26" s="237" t="s">
        <v>904</v>
      </c>
      <c r="D26" s="580">
        <f>+'F2.5'!D22</f>
        <v>0.55070986999999993</v>
      </c>
      <c r="E26" s="580"/>
      <c r="F26" s="580">
        <f>+'F2.5'!F22</f>
        <v>0.110319</v>
      </c>
      <c r="G26" s="580"/>
      <c r="H26" s="580"/>
      <c r="I26" s="580"/>
      <c r="J26" s="580"/>
      <c r="K26" s="580"/>
      <c r="L26" s="237"/>
    </row>
    <row r="27" spans="2:12" x14ac:dyDescent="0.25">
      <c r="B27" s="423" t="s">
        <v>130</v>
      </c>
      <c r="C27" s="241" t="s">
        <v>851</v>
      </c>
      <c r="D27" s="560">
        <f>SUM(D23:D26)</f>
        <v>0.55070986999999993</v>
      </c>
      <c r="E27" s="560">
        <f t="shared" ref="E27:K27" si="3">SUM(E23:E26)</f>
        <v>0.15251500000000001</v>
      </c>
      <c r="F27" s="560">
        <f t="shared" si="3"/>
        <v>0.36261645199999998</v>
      </c>
      <c r="G27" s="560">
        <f t="shared" si="3"/>
        <v>0.25</v>
      </c>
      <c r="H27" s="560">
        <f t="shared" si="3"/>
        <v>0</v>
      </c>
      <c r="I27" s="560">
        <f t="shared" si="3"/>
        <v>0</v>
      </c>
      <c r="J27" s="560">
        <f t="shared" si="3"/>
        <v>0</v>
      </c>
      <c r="K27" s="560">
        <f t="shared" si="3"/>
        <v>0</v>
      </c>
      <c r="L27" s="237"/>
    </row>
    <row r="28" spans="2:12" x14ac:dyDescent="0.25">
      <c r="B28" s="231"/>
      <c r="C28" s="231"/>
      <c r="D28" s="231"/>
      <c r="E28" s="231"/>
      <c r="F28" s="231"/>
      <c r="G28" s="231"/>
      <c r="H28" s="231"/>
      <c r="I28" s="231"/>
    </row>
    <row r="29" spans="2:12" x14ac:dyDescent="0.25">
      <c r="B29" s="231" t="s">
        <v>131</v>
      </c>
      <c r="C29" s="231"/>
      <c r="D29" s="231"/>
      <c r="E29" s="231"/>
      <c r="F29" s="231"/>
      <c r="G29" s="231"/>
      <c r="H29" s="231"/>
      <c r="I29" s="231"/>
    </row>
    <row r="34" spans="13:13" x14ac:dyDescent="0.25">
      <c r="M34" s="557"/>
    </row>
  </sheetData>
  <mergeCells count="26">
    <mergeCell ref="H10:H12"/>
    <mergeCell ref="J10:J12"/>
    <mergeCell ref="K10:K12"/>
    <mergeCell ref="O10:O12"/>
    <mergeCell ref="B2:S2"/>
    <mergeCell ref="B3:S3"/>
    <mergeCell ref="B4:S4"/>
    <mergeCell ref="P6:T6"/>
    <mergeCell ref="P10:P12"/>
    <mergeCell ref="Q10:Q12"/>
    <mergeCell ref="R10:R12"/>
    <mergeCell ref="S10:S12"/>
    <mergeCell ref="T10:T12"/>
    <mergeCell ref="U6:U8"/>
    <mergeCell ref="B6:B8"/>
    <mergeCell ref="C6:C8"/>
    <mergeCell ref="D6:D8"/>
    <mergeCell ref="H6:J6"/>
    <mergeCell ref="K6:O6"/>
    <mergeCell ref="E6:G6"/>
    <mergeCell ref="L20:L22"/>
    <mergeCell ref="B18:H18"/>
    <mergeCell ref="B20:B22"/>
    <mergeCell ref="C20:C22"/>
    <mergeCell ref="D20:E20"/>
    <mergeCell ref="G20:K20"/>
  </mergeCells>
  <printOptions horizontalCentered="1" verticalCentered="1"/>
  <pageMargins left="0.27559055118110237" right="0.23622047244094491" top="0.39370078740157483" bottom="0.98425196850393704" header="0.23622047244094491" footer="0.23622047244094491"/>
  <pageSetup paperSize="9" scale="51"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N83"/>
  <sheetViews>
    <sheetView showGridLines="0" view="pageBreakPreview" zoomScale="40" zoomScaleNormal="75" zoomScaleSheetLayoutView="40" workbookViewId="0">
      <selection activeCell="B5" sqref="B5:AM5"/>
    </sheetView>
  </sheetViews>
  <sheetFormatPr defaultColWidth="9.33203125" defaultRowHeight="13.8" x14ac:dyDescent="0.25"/>
  <cols>
    <col min="1" max="1" width="5.5546875" style="34" customWidth="1"/>
    <col min="2" max="2" width="11.44140625" style="34" customWidth="1"/>
    <col min="3" max="3" width="75.5546875" style="34" customWidth="1"/>
    <col min="4" max="8" width="12.6640625" style="34" customWidth="1"/>
    <col min="9" max="38" width="11.6640625" style="34" customWidth="1"/>
    <col min="39" max="39" width="12.6640625" style="34" customWidth="1"/>
    <col min="40" max="40" width="16.44140625" style="34" customWidth="1"/>
    <col min="41" max="16384" width="9.33203125" style="34"/>
  </cols>
  <sheetData>
    <row r="1" spans="2:40" x14ac:dyDescent="0.25">
      <c r="B1" s="33"/>
    </row>
    <row r="2" spans="2:40" x14ac:dyDescent="0.25">
      <c r="B2" s="35"/>
      <c r="C2" s="35"/>
      <c r="D2" s="35"/>
      <c r="E2" s="35"/>
      <c r="F2" s="35"/>
      <c r="G2" s="35"/>
      <c r="H2" s="35"/>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row>
    <row r="3" spans="2:40" x14ac:dyDescent="0.25">
      <c r="B3" s="1003" t="str">
        <f>Index!$B$2</f>
        <v>JAIGAD POWER TRANSCO LIMITED (JPTL)</v>
      </c>
      <c r="C3" s="1004"/>
      <c r="D3" s="1004"/>
      <c r="E3" s="1004"/>
      <c r="F3" s="1004"/>
      <c r="G3" s="1004"/>
      <c r="H3" s="1004"/>
      <c r="I3" s="1004"/>
      <c r="J3" s="1004"/>
      <c r="K3" s="1004"/>
      <c r="L3" s="1004"/>
      <c r="M3" s="1004"/>
      <c r="N3" s="1004"/>
      <c r="O3" s="1004"/>
      <c r="P3" s="1004"/>
      <c r="Q3" s="1004"/>
      <c r="R3" s="1004"/>
      <c r="S3" s="1004"/>
      <c r="T3" s="1004"/>
      <c r="U3" s="1004"/>
      <c r="V3" s="1004"/>
      <c r="W3" s="1004"/>
      <c r="X3" s="1004"/>
      <c r="Y3" s="1004"/>
      <c r="Z3" s="1004"/>
      <c r="AA3" s="1004"/>
      <c r="AB3" s="1004"/>
      <c r="AC3" s="1004"/>
      <c r="AD3" s="1004"/>
      <c r="AE3" s="1004"/>
      <c r="AF3" s="1004"/>
      <c r="AG3" s="1004"/>
      <c r="AH3" s="1004"/>
      <c r="AI3" s="1004"/>
      <c r="AJ3" s="1004"/>
      <c r="AK3" s="1004"/>
      <c r="AL3" s="1004"/>
      <c r="AM3" s="1004"/>
      <c r="AN3" s="37"/>
    </row>
    <row r="4" spans="2:40" x14ac:dyDescent="0.25">
      <c r="B4" s="1005" t="s">
        <v>0</v>
      </c>
      <c r="C4" s="1004"/>
      <c r="D4" s="1004"/>
      <c r="E4" s="1004"/>
      <c r="F4" s="1004"/>
      <c r="G4" s="1004"/>
      <c r="H4" s="1004"/>
      <c r="I4" s="1004"/>
      <c r="J4" s="1004"/>
      <c r="K4" s="1004"/>
      <c r="L4" s="1004"/>
      <c r="M4" s="1004"/>
      <c r="N4" s="1004"/>
      <c r="O4" s="1004"/>
      <c r="P4" s="1004"/>
      <c r="Q4" s="1004"/>
      <c r="R4" s="1004"/>
      <c r="S4" s="1004"/>
      <c r="T4" s="1004"/>
      <c r="U4" s="1004"/>
      <c r="V4" s="1004"/>
      <c r="W4" s="1004"/>
      <c r="X4" s="1004"/>
      <c r="Y4" s="1004"/>
      <c r="Z4" s="1004"/>
      <c r="AA4" s="1004"/>
      <c r="AB4" s="1004"/>
      <c r="AC4" s="1004"/>
      <c r="AD4" s="1004"/>
      <c r="AE4" s="1004"/>
      <c r="AF4" s="1004"/>
      <c r="AG4" s="1004"/>
      <c r="AH4" s="1004"/>
      <c r="AI4" s="1004"/>
      <c r="AJ4" s="1004"/>
      <c r="AK4" s="1004"/>
      <c r="AL4" s="1004"/>
      <c r="AM4" s="1004"/>
      <c r="AN4" s="36"/>
    </row>
    <row r="5" spans="2:40" x14ac:dyDescent="0.25">
      <c r="B5" s="1005" t="s">
        <v>133</v>
      </c>
      <c r="C5" s="1004"/>
      <c r="D5" s="1004"/>
      <c r="E5" s="1004"/>
      <c r="F5" s="1004"/>
      <c r="G5" s="1004"/>
      <c r="H5" s="1004"/>
      <c r="I5" s="1004"/>
      <c r="J5" s="1004"/>
      <c r="K5" s="1004"/>
      <c r="L5" s="1004"/>
      <c r="M5" s="1004"/>
      <c r="N5" s="1004"/>
      <c r="O5" s="1004"/>
      <c r="P5" s="1004"/>
      <c r="Q5" s="1004"/>
      <c r="R5" s="1004"/>
      <c r="S5" s="1004"/>
      <c r="T5" s="1004"/>
      <c r="U5" s="1004"/>
      <c r="V5" s="1004"/>
      <c r="W5" s="1004"/>
      <c r="X5" s="1004"/>
      <c r="Y5" s="1004"/>
      <c r="Z5" s="1004"/>
      <c r="AA5" s="1004"/>
      <c r="AB5" s="1004"/>
      <c r="AC5" s="1004"/>
      <c r="AD5" s="1004"/>
      <c r="AE5" s="1004"/>
      <c r="AF5" s="1004"/>
      <c r="AG5" s="1004"/>
      <c r="AH5" s="1004"/>
      <c r="AI5" s="1004"/>
      <c r="AJ5" s="1004"/>
      <c r="AK5" s="1004"/>
      <c r="AL5" s="1004"/>
      <c r="AM5" s="1004"/>
    </row>
    <row r="6" spans="2:40" x14ac:dyDescent="0.25">
      <c r="B6" s="70"/>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row>
    <row r="7" spans="2:40" x14ac:dyDescent="0.25">
      <c r="C7" s="38"/>
      <c r="D7" s="38"/>
      <c r="E7" s="38"/>
      <c r="F7" s="38"/>
      <c r="G7" s="38"/>
      <c r="H7" s="38"/>
    </row>
    <row r="8" spans="2:40" x14ac:dyDescent="0.25">
      <c r="B8" s="1006" t="s">
        <v>1</v>
      </c>
      <c r="C8" s="1006" t="s">
        <v>74</v>
      </c>
      <c r="D8" s="1010" t="s">
        <v>75</v>
      </c>
      <c r="E8" s="1011"/>
      <c r="F8" s="1011"/>
      <c r="G8" s="1011"/>
      <c r="H8" s="1012"/>
      <c r="I8" s="1010" t="s">
        <v>76</v>
      </c>
      <c r="J8" s="1011"/>
      <c r="K8" s="1011"/>
      <c r="L8" s="1011"/>
      <c r="M8" s="1012"/>
      <c r="N8" s="1010" t="s">
        <v>77</v>
      </c>
      <c r="O8" s="1011"/>
      <c r="P8" s="1011"/>
      <c r="Q8" s="1011"/>
      <c r="R8" s="1012"/>
      <c r="S8" s="1009" t="s">
        <v>103</v>
      </c>
      <c r="T8" s="1009"/>
      <c r="U8" s="1009"/>
      <c r="V8" s="1009"/>
      <c r="W8" s="1009" t="s">
        <v>103</v>
      </c>
      <c r="X8" s="1009"/>
      <c r="Y8" s="1009"/>
      <c r="Z8" s="1009"/>
      <c r="AA8" s="1009" t="s">
        <v>103</v>
      </c>
      <c r="AB8" s="1009"/>
      <c r="AC8" s="1009"/>
      <c r="AD8" s="1009"/>
      <c r="AE8" s="1009" t="s">
        <v>103</v>
      </c>
      <c r="AF8" s="1009"/>
      <c r="AG8" s="1009"/>
      <c r="AH8" s="1009"/>
      <c r="AI8" s="1009" t="s">
        <v>103</v>
      </c>
      <c r="AJ8" s="1009"/>
      <c r="AK8" s="1009"/>
      <c r="AL8" s="1009"/>
      <c r="AM8" s="1007" t="s">
        <v>79</v>
      </c>
    </row>
    <row r="9" spans="2:40" x14ac:dyDescent="0.25">
      <c r="B9" s="1006"/>
      <c r="C9" s="1006"/>
      <c r="D9" s="453" t="s">
        <v>80</v>
      </c>
      <c r="E9" s="1006" t="s">
        <v>134</v>
      </c>
      <c r="F9" s="1006"/>
      <c r="G9" s="1006"/>
      <c r="H9" s="1006"/>
      <c r="I9" s="453" t="s">
        <v>80</v>
      </c>
      <c r="J9" s="1006" t="s">
        <v>134</v>
      </c>
      <c r="K9" s="1006"/>
      <c r="L9" s="1006"/>
      <c r="M9" s="1006"/>
      <c r="N9" s="453" t="s">
        <v>80</v>
      </c>
      <c r="O9" s="1006" t="s">
        <v>135</v>
      </c>
      <c r="P9" s="1006"/>
      <c r="Q9" s="1006"/>
      <c r="R9" s="1006"/>
      <c r="S9" s="1008" t="s">
        <v>87</v>
      </c>
      <c r="T9" s="1008"/>
      <c r="U9" s="1008"/>
      <c r="V9" s="1008"/>
      <c r="W9" s="1008" t="s">
        <v>88</v>
      </c>
      <c r="X9" s="1008"/>
      <c r="Y9" s="1008"/>
      <c r="Z9" s="1008"/>
      <c r="AA9" s="1008" t="s">
        <v>89</v>
      </c>
      <c r="AB9" s="1008"/>
      <c r="AC9" s="1008"/>
      <c r="AD9" s="1008"/>
      <c r="AE9" s="1008" t="s">
        <v>90</v>
      </c>
      <c r="AF9" s="1008"/>
      <c r="AG9" s="1008"/>
      <c r="AH9" s="1008"/>
      <c r="AI9" s="1008" t="s">
        <v>91</v>
      </c>
      <c r="AJ9" s="1008"/>
      <c r="AK9" s="1008"/>
      <c r="AL9" s="1008"/>
      <c r="AM9" s="1007"/>
      <c r="AN9" s="1013"/>
    </row>
    <row r="10" spans="2:40" x14ac:dyDescent="0.25">
      <c r="B10" s="1006"/>
      <c r="C10" s="1006"/>
      <c r="D10" s="50" t="s">
        <v>136</v>
      </c>
      <c r="E10" s="50" t="s">
        <v>137</v>
      </c>
      <c r="F10" s="50" t="s">
        <v>138</v>
      </c>
      <c r="G10" s="50" t="s">
        <v>139</v>
      </c>
      <c r="H10" s="50" t="s">
        <v>136</v>
      </c>
      <c r="I10" s="50" t="s">
        <v>136</v>
      </c>
      <c r="J10" s="50" t="s">
        <v>137</v>
      </c>
      <c r="K10" s="50" t="s">
        <v>138</v>
      </c>
      <c r="L10" s="50" t="s">
        <v>139</v>
      </c>
      <c r="M10" s="50" t="s">
        <v>136</v>
      </c>
      <c r="N10" s="50" t="s">
        <v>136</v>
      </c>
      <c r="O10" s="50" t="s">
        <v>137</v>
      </c>
      <c r="P10" s="50" t="s">
        <v>138</v>
      </c>
      <c r="Q10" s="50" t="s">
        <v>139</v>
      </c>
      <c r="R10" s="50" t="s">
        <v>136</v>
      </c>
      <c r="S10" s="50" t="s">
        <v>137</v>
      </c>
      <c r="T10" s="50" t="s">
        <v>138</v>
      </c>
      <c r="U10" s="50" t="s">
        <v>139</v>
      </c>
      <c r="V10" s="50" t="s">
        <v>136</v>
      </c>
      <c r="W10" s="50" t="s">
        <v>137</v>
      </c>
      <c r="X10" s="50" t="s">
        <v>138</v>
      </c>
      <c r="Y10" s="50" t="s">
        <v>139</v>
      </c>
      <c r="Z10" s="50" t="s">
        <v>136</v>
      </c>
      <c r="AA10" s="50" t="s">
        <v>137</v>
      </c>
      <c r="AB10" s="50" t="s">
        <v>138</v>
      </c>
      <c r="AC10" s="50" t="s">
        <v>139</v>
      </c>
      <c r="AD10" s="50" t="s">
        <v>136</v>
      </c>
      <c r="AE10" s="50" t="s">
        <v>137</v>
      </c>
      <c r="AF10" s="50" t="s">
        <v>138</v>
      </c>
      <c r="AG10" s="50" t="s">
        <v>139</v>
      </c>
      <c r="AH10" s="50" t="s">
        <v>136</v>
      </c>
      <c r="AI10" s="50" t="s">
        <v>137</v>
      </c>
      <c r="AJ10" s="50" t="s">
        <v>138</v>
      </c>
      <c r="AK10" s="50" t="s">
        <v>139</v>
      </c>
      <c r="AL10" s="50" t="s">
        <v>136</v>
      </c>
      <c r="AM10" s="1007"/>
      <c r="AN10" s="1013"/>
    </row>
    <row r="11" spans="2:40" s="39" customFormat="1" x14ac:dyDescent="0.25">
      <c r="B11" s="82">
        <v>1</v>
      </c>
      <c r="C11" s="83" t="s">
        <v>140</v>
      </c>
      <c r="D11" s="83"/>
      <c r="E11" s="83"/>
      <c r="F11" s="83"/>
      <c r="G11" s="83"/>
      <c r="H11" s="83"/>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60"/>
      <c r="AN11" s="19"/>
    </row>
    <row r="12" spans="2:40" s="39" customFormat="1" x14ac:dyDescent="0.25">
      <c r="B12" s="82"/>
      <c r="C12" s="83"/>
      <c r="D12" s="83"/>
      <c r="E12" s="83"/>
      <c r="F12" s="83"/>
      <c r="G12" s="83"/>
      <c r="H12" s="83"/>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19"/>
    </row>
    <row r="13" spans="2:40" x14ac:dyDescent="0.25">
      <c r="B13" s="95" t="s">
        <v>141</v>
      </c>
      <c r="C13" s="94" t="s">
        <v>142</v>
      </c>
      <c r="D13" s="94"/>
      <c r="E13" s="94"/>
      <c r="F13" s="94"/>
      <c r="G13" s="94"/>
      <c r="H13" s="94"/>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19"/>
    </row>
    <row r="14" spans="2:40" x14ac:dyDescent="0.25">
      <c r="B14" s="84"/>
      <c r="C14" s="151" t="s">
        <v>143</v>
      </c>
      <c r="D14" s="151"/>
      <c r="E14" s="151"/>
      <c r="F14" s="151"/>
      <c r="G14" s="151"/>
      <c r="H14" s="151"/>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19"/>
    </row>
    <row r="15" spans="2:40" x14ac:dyDescent="0.25">
      <c r="B15" s="84"/>
      <c r="C15" s="151" t="s">
        <v>144</v>
      </c>
      <c r="D15" s="151"/>
      <c r="E15" s="151"/>
      <c r="F15" s="151"/>
      <c r="G15" s="151"/>
      <c r="H15" s="151"/>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19"/>
    </row>
    <row r="16" spans="2:40" x14ac:dyDescent="0.25">
      <c r="B16" s="84"/>
      <c r="C16" s="151" t="s">
        <v>145</v>
      </c>
      <c r="D16" s="515">
        <f>+'F2.2'!D13*2</f>
        <v>330</v>
      </c>
      <c r="E16" s="515">
        <f>+D16</f>
        <v>330</v>
      </c>
      <c r="F16" s="151"/>
      <c r="G16" s="515">
        <f>+'F2.2'!D13*2</f>
        <v>330</v>
      </c>
      <c r="H16" s="515">
        <f>AVERAGE(G16,E16)</f>
        <v>330</v>
      </c>
      <c r="I16" s="516">
        <f>+D16</f>
        <v>330</v>
      </c>
      <c r="J16" s="516">
        <f>+E16</f>
        <v>330</v>
      </c>
      <c r="K16" s="26"/>
      <c r="L16" s="516">
        <f>+'F2.2'!E13*2</f>
        <v>330</v>
      </c>
      <c r="M16" s="515">
        <f>AVERAGE(L16,J16)</f>
        <v>330</v>
      </c>
      <c r="N16" s="516">
        <f>+I16</f>
        <v>330</v>
      </c>
      <c r="O16" s="516">
        <f>+J16</f>
        <v>330</v>
      </c>
      <c r="P16" s="26"/>
      <c r="Q16" s="516">
        <f>+'F2.2'!J13*2</f>
        <v>330</v>
      </c>
      <c r="R16" s="515">
        <f>AVERAGE(Q16,O16)</f>
        <v>330</v>
      </c>
      <c r="S16" s="516">
        <f>+O16</f>
        <v>330</v>
      </c>
      <c r="T16" s="26"/>
      <c r="U16" s="516">
        <f>+'F2.2'!I13*2</f>
        <v>330</v>
      </c>
      <c r="V16" s="515">
        <f>AVERAGE(U16,S16)</f>
        <v>330</v>
      </c>
      <c r="W16" s="516">
        <f>+S16</f>
        <v>330</v>
      </c>
      <c r="X16" s="26"/>
      <c r="Y16" s="516">
        <f>+'F2.2'!J13*2</f>
        <v>330</v>
      </c>
      <c r="Z16" s="515">
        <f>AVERAGE(Y16,W16)</f>
        <v>330</v>
      </c>
      <c r="AA16" s="516">
        <f>+W16</f>
        <v>330</v>
      </c>
      <c r="AB16" s="26"/>
      <c r="AC16" s="516">
        <f>+'F2.2'!K13*2</f>
        <v>330</v>
      </c>
      <c r="AD16" s="515">
        <f>AVERAGE(AC16,AA16)</f>
        <v>330</v>
      </c>
      <c r="AE16" s="516">
        <f>+AA16</f>
        <v>330</v>
      </c>
      <c r="AF16" s="26"/>
      <c r="AG16" s="516">
        <f>+'F2.2'!L13*2</f>
        <v>330</v>
      </c>
      <c r="AH16" s="515">
        <f>AVERAGE(AG16,AE16)</f>
        <v>330</v>
      </c>
      <c r="AI16" s="516">
        <f>+AE16</f>
        <v>330</v>
      </c>
      <c r="AJ16" s="26"/>
      <c r="AK16" s="516">
        <f>+'F2.2'!M13*2</f>
        <v>330</v>
      </c>
      <c r="AL16" s="515">
        <f>AVERAGE(AK16,AI16)</f>
        <v>330</v>
      </c>
      <c r="AM16" s="26"/>
      <c r="AN16" s="19"/>
    </row>
    <row r="17" spans="2:40" x14ac:dyDescent="0.25">
      <c r="B17" s="84"/>
      <c r="C17" s="151" t="s">
        <v>146</v>
      </c>
      <c r="D17" s="151"/>
      <c r="E17" s="151"/>
      <c r="F17" s="151"/>
      <c r="G17" s="151"/>
      <c r="H17" s="151"/>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19"/>
    </row>
    <row r="18" spans="2:40" x14ac:dyDescent="0.25">
      <c r="B18" s="84"/>
      <c r="C18" s="151" t="s">
        <v>147</v>
      </c>
      <c r="D18" s="151"/>
      <c r="E18" s="151"/>
      <c r="F18" s="151"/>
      <c r="G18" s="151"/>
      <c r="H18" s="151"/>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19"/>
    </row>
    <row r="19" spans="2:40" x14ac:dyDescent="0.25">
      <c r="B19" s="84"/>
      <c r="C19" s="85"/>
      <c r="D19" s="450"/>
      <c r="E19" s="997"/>
      <c r="F19" s="998"/>
      <c r="G19" s="998"/>
      <c r="H19" s="999"/>
      <c r="I19" s="440"/>
      <c r="J19" s="994"/>
      <c r="K19" s="995"/>
      <c r="L19" s="995"/>
      <c r="M19" s="996"/>
      <c r="N19" s="440"/>
      <c r="O19" s="994"/>
      <c r="P19" s="995"/>
      <c r="Q19" s="995"/>
      <c r="R19" s="996"/>
      <c r="S19" s="994"/>
      <c r="T19" s="995"/>
      <c r="U19" s="995"/>
      <c r="V19" s="996"/>
      <c r="W19" s="994"/>
      <c r="X19" s="995"/>
      <c r="Y19" s="995"/>
      <c r="Z19" s="996"/>
      <c r="AA19" s="415"/>
      <c r="AB19" s="415"/>
      <c r="AC19" s="415"/>
      <c r="AD19" s="415"/>
      <c r="AE19" s="994"/>
      <c r="AF19" s="995"/>
      <c r="AG19" s="995"/>
      <c r="AH19" s="996"/>
      <c r="AI19" s="994"/>
      <c r="AJ19" s="995"/>
      <c r="AK19" s="995"/>
      <c r="AL19" s="996"/>
      <c r="AM19" s="26"/>
      <c r="AN19" s="19"/>
    </row>
    <row r="20" spans="2:40" x14ac:dyDescent="0.25">
      <c r="B20" s="95" t="s">
        <v>148</v>
      </c>
      <c r="C20" s="89" t="s">
        <v>149</v>
      </c>
      <c r="D20" s="451"/>
      <c r="E20" s="1000"/>
      <c r="F20" s="1001"/>
      <c r="G20" s="1001"/>
      <c r="H20" s="1002"/>
      <c r="I20" s="440"/>
      <c r="J20" s="994"/>
      <c r="K20" s="995"/>
      <c r="L20" s="995"/>
      <c r="M20" s="996"/>
      <c r="N20" s="440"/>
      <c r="O20" s="994"/>
      <c r="P20" s="995"/>
      <c r="Q20" s="995"/>
      <c r="R20" s="996"/>
      <c r="S20" s="994"/>
      <c r="T20" s="995"/>
      <c r="U20" s="995"/>
      <c r="V20" s="996"/>
      <c r="W20" s="994"/>
      <c r="X20" s="995"/>
      <c r="Y20" s="995"/>
      <c r="Z20" s="996"/>
      <c r="AA20" s="415"/>
      <c r="AB20" s="415"/>
      <c r="AC20" s="415"/>
      <c r="AD20" s="415"/>
      <c r="AE20" s="994"/>
      <c r="AF20" s="995"/>
      <c r="AG20" s="995"/>
      <c r="AH20" s="996"/>
      <c r="AI20" s="994"/>
      <c r="AJ20" s="995"/>
      <c r="AK20" s="995"/>
      <c r="AL20" s="996"/>
      <c r="AM20" s="26"/>
      <c r="AN20" s="19"/>
    </row>
    <row r="21" spans="2:40" x14ac:dyDescent="0.25">
      <c r="B21" s="84"/>
      <c r="C21" s="151" t="s">
        <v>150</v>
      </c>
      <c r="D21" s="452"/>
      <c r="E21" s="991"/>
      <c r="F21" s="992"/>
      <c r="G21" s="992"/>
      <c r="H21" s="993"/>
      <c r="I21" s="440"/>
      <c r="J21" s="994"/>
      <c r="K21" s="995"/>
      <c r="L21" s="995"/>
      <c r="M21" s="996"/>
      <c r="N21" s="440"/>
      <c r="O21" s="994"/>
      <c r="P21" s="995"/>
      <c r="Q21" s="995"/>
      <c r="R21" s="996"/>
      <c r="S21" s="994"/>
      <c r="T21" s="995"/>
      <c r="U21" s="995"/>
      <c r="V21" s="996"/>
      <c r="W21" s="994"/>
      <c r="X21" s="995"/>
      <c r="Y21" s="995"/>
      <c r="Z21" s="996"/>
      <c r="AA21" s="415"/>
      <c r="AB21" s="415"/>
      <c r="AC21" s="415"/>
      <c r="AD21" s="415"/>
      <c r="AE21" s="994"/>
      <c r="AF21" s="995"/>
      <c r="AG21" s="995"/>
      <c r="AH21" s="996"/>
      <c r="AI21" s="994"/>
      <c r="AJ21" s="995"/>
      <c r="AK21" s="995"/>
      <c r="AL21" s="996"/>
      <c r="AM21" s="26"/>
      <c r="AN21" s="19"/>
    </row>
    <row r="22" spans="2:40" x14ac:dyDescent="0.25">
      <c r="B22" s="84"/>
      <c r="C22" s="151" t="s">
        <v>144</v>
      </c>
      <c r="D22" s="452"/>
      <c r="E22" s="991"/>
      <c r="F22" s="992"/>
      <c r="G22" s="992"/>
      <c r="H22" s="993"/>
      <c r="I22" s="440"/>
      <c r="J22" s="994"/>
      <c r="K22" s="995"/>
      <c r="L22" s="995"/>
      <c r="M22" s="996"/>
      <c r="N22" s="440"/>
      <c r="O22" s="994"/>
      <c r="P22" s="995"/>
      <c r="Q22" s="995"/>
      <c r="R22" s="996"/>
      <c r="S22" s="994"/>
      <c r="T22" s="995"/>
      <c r="U22" s="995"/>
      <c r="V22" s="996"/>
      <c r="W22" s="994"/>
      <c r="X22" s="995"/>
      <c r="Y22" s="995"/>
      <c r="Z22" s="996"/>
      <c r="AA22" s="415"/>
      <c r="AB22" s="415"/>
      <c r="AC22" s="415"/>
      <c r="AD22" s="415"/>
      <c r="AE22" s="994"/>
      <c r="AF22" s="995"/>
      <c r="AG22" s="995"/>
      <c r="AH22" s="996"/>
      <c r="AI22" s="994"/>
      <c r="AJ22" s="995"/>
      <c r="AK22" s="995"/>
      <c r="AL22" s="996"/>
      <c r="AM22" s="26"/>
      <c r="AN22" s="19"/>
    </row>
    <row r="23" spans="2:40" x14ac:dyDescent="0.25">
      <c r="B23" s="84"/>
      <c r="C23" s="151" t="s">
        <v>145</v>
      </c>
      <c r="D23" s="452">
        <v>0.47</v>
      </c>
      <c r="E23" s="991">
        <v>0.47</v>
      </c>
      <c r="F23" s="992"/>
      <c r="G23" s="992"/>
      <c r="H23" s="993"/>
      <c r="I23" s="440">
        <v>0.49</v>
      </c>
      <c r="J23" s="994">
        <v>0.49</v>
      </c>
      <c r="K23" s="995"/>
      <c r="L23" s="995"/>
      <c r="M23" s="996"/>
      <c r="N23" s="440">
        <v>0.51</v>
      </c>
      <c r="O23" s="994">
        <v>0.51</v>
      </c>
      <c r="P23" s="995"/>
      <c r="Q23" s="995"/>
      <c r="R23" s="996"/>
      <c r="S23" s="994">
        <v>0.54</v>
      </c>
      <c r="T23" s="995"/>
      <c r="U23" s="995"/>
      <c r="V23" s="996"/>
      <c r="W23" s="994">
        <v>0.56000000000000005</v>
      </c>
      <c r="X23" s="995"/>
      <c r="Y23" s="995"/>
      <c r="Z23" s="996"/>
      <c r="AA23" s="979">
        <v>0.59</v>
      </c>
      <c r="AB23" s="980"/>
      <c r="AC23" s="980"/>
      <c r="AD23" s="981"/>
      <c r="AE23" s="979">
        <v>0.61</v>
      </c>
      <c r="AF23" s="980"/>
      <c r="AG23" s="980"/>
      <c r="AH23" s="981"/>
      <c r="AI23" s="994">
        <v>0.64</v>
      </c>
      <c r="AJ23" s="995"/>
      <c r="AK23" s="995"/>
      <c r="AL23" s="996"/>
      <c r="AM23" s="26"/>
      <c r="AN23" s="19"/>
    </row>
    <row r="24" spans="2:40" x14ac:dyDescent="0.25">
      <c r="B24" s="84"/>
      <c r="C24" s="151" t="s">
        <v>146</v>
      </c>
      <c r="D24" s="452"/>
      <c r="E24" s="991"/>
      <c r="F24" s="992"/>
      <c r="G24" s="992"/>
      <c r="H24" s="993"/>
      <c r="I24" s="440"/>
      <c r="J24" s="994"/>
      <c r="K24" s="995"/>
      <c r="L24" s="995"/>
      <c r="M24" s="996"/>
      <c r="N24" s="440"/>
      <c r="O24" s="994"/>
      <c r="P24" s="995"/>
      <c r="Q24" s="995"/>
      <c r="R24" s="996"/>
      <c r="S24" s="994"/>
      <c r="T24" s="995"/>
      <c r="U24" s="995"/>
      <c r="V24" s="996"/>
      <c r="W24" s="994"/>
      <c r="X24" s="995"/>
      <c r="Y24" s="995"/>
      <c r="Z24" s="996"/>
      <c r="AA24" s="415"/>
      <c r="AB24" s="415"/>
      <c r="AC24" s="415"/>
      <c r="AD24" s="415"/>
      <c r="AE24" s="994"/>
      <c r="AF24" s="995"/>
      <c r="AG24" s="995"/>
      <c r="AH24" s="996"/>
      <c r="AI24" s="994"/>
      <c r="AJ24" s="995"/>
      <c r="AK24" s="995"/>
      <c r="AL24" s="996"/>
      <c r="AM24" s="26"/>
      <c r="AN24" s="19"/>
    </row>
    <row r="25" spans="2:40" x14ac:dyDescent="0.25">
      <c r="B25" s="84"/>
      <c r="C25" s="151" t="s">
        <v>147</v>
      </c>
      <c r="D25" s="452"/>
      <c r="E25" s="991"/>
      <c r="F25" s="992"/>
      <c r="G25" s="992"/>
      <c r="H25" s="993"/>
      <c r="I25" s="441"/>
      <c r="J25" s="974"/>
      <c r="K25" s="975"/>
      <c r="L25" s="975"/>
      <c r="M25" s="976"/>
      <c r="N25" s="441"/>
      <c r="O25" s="974"/>
      <c r="P25" s="975"/>
      <c r="Q25" s="975"/>
      <c r="R25" s="976"/>
      <c r="S25" s="974"/>
      <c r="T25" s="975"/>
      <c r="U25" s="975"/>
      <c r="V25" s="976"/>
      <c r="W25" s="974"/>
      <c r="X25" s="975"/>
      <c r="Y25" s="975"/>
      <c r="Z25" s="976"/>
      <c r="AA25" s="416"/>
      <c r="AB25" s="416"/>
      <c r="AC25" s="416"/>
      <c r="AD25" s="416"/>
      <c r="AE25" s="974"/>
      <c r="AF25" s="975"/>
      <c r="AG25" s="975"/>
      <c r="AH25" s="976"/>
      <c r="AI25" s="974"/>
      <c r="AJ25" s="975"/>
      <c r="AK25" s="975"/>
      <c r="AL25" s="976"/>
      <c r="AM25" s="26"/>
      <c r="AN25" s="19"/>
    </row>
    <row r="26" spans="2:40" x14ac:dyDescent="0.25">
      <c r="B26" s="84"/>
      <c r="C26" s="85"/>
      <c r="D26" s="452"/>
      <c r="E26" s="991"/>
      <c r="F26" s="992"/>
      <c r="G26" s="992"/>
      <c r="H26" s="993"/>
      <c r="I26" s="441"/>
      <c r="J26" s="974"/>
      <c r="K26" s="975"/>
      <c r="L26" s="975"/>
      <c r="M26" s="976"/>
      <c r="N26" s="441"/>
      <c r="O26" s="974"/>
      <c r="P26" s="975"/>
      <c r="Q26" s="975"/>
      <c r="R26" s="976"/>
      <c r="S26" s="974"/>
      <c r="T26" s="975"/>
      <c r="U26" s="975"/>
      <c r="V26" s="976"/>
      <c r="W26" s="974"/>
      <c r="X26" s="975"/>
      <c r="Y26" s="975"/>
      <c r="Z26" s="976"/>
      <c r="AA26" s="416"/>
      <c r="AB26" s="416"/>
      <c r="AC26" s="416"/>
      <c r="AD26" s="416"/>
      <c r="AE26" s="974"/>
      <c r="AF26" s="975"/>
      <c r="AG26" s="975"/>
      <c r="AH26" s="976"/>
      <c r="AI26" s="974"/>
      <c r="AJ26" s="975"/>
      <c r="AK26" s="975"/>
      <c r="AL26" s="976"/>
      <c r="AM26" s="26"/>
      <c r="AN26" s="19"/>
    </row>
    <row r="27" spans="2:40" x14ac:dyDescent="0.25">
      <c r="B27" s="95" t="s">
        <v>151</v>
      </c>
      <c r="C27" s="94" t="s">
        <v>152</v>
      </c>
      <c r="D27" s="452"/>
      <c r="E27" s="991"/>
      <c r="F27" s="992"/>
      <c r="G27" s="992"/>
      <c r="H27" s="993"/>
      <c r="I27" s="440"/>
      <c r="J27" s="994"/>
      <c r="K27" s="995"/>
      <c r="L27" s="995"/>
      <c r="M27" s="996"/>
      <c r="N27" s="440"/>
      <c r="O27" s="994"/>
      <c r="P27" s="995"/>
      <c r="Q27" s="995"/>
      <c r="R27" s="996"/>
      <c r="S27" s="994"/>
      <c r="T27" s="995"/>
      <c r="U27" s="995"/>
      <c r="V27" s="996"/>
      <c r="W27" s="994"/>
      <c r="X27" s="995"/>
      <c r="Y27" s="995"/>
      <c r="Z27" s="996"/>
      <c r="AA27" s="415"/>
      <c r="AB27" s="415"/>
      <c r="AC27" s="415"/>
      <c r="AD27" s="415"/>
      <c r="AE27" s="994"/>
      <c r="AF27" s="995"/>
      <c r="AG27" s="995"/>
      <c r="AH27" s="996"/>
      <c r="AI27" s="994"/>
      <c r="AJ27" s="995"/>
      <c r="AK27" s="995"/>
      <c r="AL27" s="996"/>
      <c r="AM27" s="40"/>
    </row>
    <row r="28" spans="2:40" x14ac:dyDescent="0.25">
      <c r="B28" s="84"/>
      <c r="C28" s="151" t="s">
        <v>143</v>
      </c>
      <c r="D28" s="452"/>
      <c r="E28" s="991"/>
      <c r="F28" s="992"/>
      <c r="G28" s="992"/>
      <c r="H28" s="993"/>
      <c r="I28" s="440"/>
      <c r="J28" s="994"/>
      <c r="K28" s="995"/>
      <c r="L28" s="995"/>
      <c r="M28" s="996"/>
      <c r="N28" s="440"/>
      <c r="O28" s="994"/>
      <c r="P28" s="995"/>
      <c r="Q28" s="995"/>
      <c r="R28" s="996"/>
      <c r="S28" s="994"/>
      <c r="T28" s="995"/>
      <c r="U28" s="995"/>
      <c r="V28" s="996"/>
      <c r="W28" s="994"/>
      <c r="X28" s="995"/>
      <c r="Y28" s="995"/>
      <c r="Z28" s="996"/>
      <c r="AA28" s="415"/>
      <c r="AB28" s="415"/>
      <c r="AC28" s="415"/>
      <c r="AD28" s="415"/>
      <c r="AE28" s="994"/>
      <c r="AF28" s="995"/>
      <c r="AG28" s="995"/>
      <c r="AH28" s="996"/>
      <c r="AI28" s="994"/>
      <c r="AJ28" s="995"/>
      <c r="AK28" s="995"/>
      <c r="AL28" s="996"/>
      <c r="AM28" s="93"/>
    </row>
    <row r="29" spans="2:40" x14ac:dyDescent="0.25">
      <c r="B29" s="84"/>
      <c r="C29" s="151" t="s">
        <v>144</v>
      </c>
      <c r="D29" s="452"/>
      <c r="E29" s="991"/>
      <c r="F29" s="992"/>
      <c r="G29" s="992"/>
      <c r="H29" s="993"/>
      <c r="I29" s="440"/>
      <c r="J29" s="994"/>
      <c r="K29" s="995"/>
      <c r="L29" s="995"/>
      <c r="M29" s="996"/>
      <c r="N29" s="440"/>
      <c r="O29" s="994"/>
      <c r="P29" s="995"/>
      <c r="Q29" s="995"/>
      <c r="R29" s="996"/>
      <c r="S29" s="994"/>
      <c r="T29" s="995"/>
      <c r="U29" s="995"/>
      <c r="V29" s="996"/>
      <c r="W29" s="994"/>
      <c r="X29" s="995"/>
      <c r="Y29" s="995"/>
      <c r="Z29" s="996"/>
      <c r="AA29" s="415"/>
      <c r="AB29" s="415"/>
      <c r="AC29" s="415"/>
      <c r="AD29" s="415"/>
      <c r="AE29" s="994"/>
      <c r="AF29" s="995"/>
      <c r="AG29" s="995"/>
      <c r="AH29" s="996"/>
      <c r="AI29" s="994"/>
      <c r="AJ29" s="995"/>
      <c r="AK29" s="995"/>
      <c r="AL29" s="996"/>
      <c r="AM29" s="62"/>
    </row>
    <row r="30" spans="2:40" x14ac:dyDescent="0.25">
      <c r="B30" s="84"/>
      <c r="C30" s="151" t="s">
        <v>145</v>
      </c>
      <c r="D30" s="517">
        <f>+D16*D23/100</f>
        <v>1.5509999999999999</v>
      </c>
      <c r="E30" s="971">
        <f>+H16*E23/100</f>
        <v>1.5509999999999999</v>
      </c>
      <c r="F30" s="972"/>
      <c r="G30" s="972"/>
      <c r="H30" s="973"/>
      <c r="I30" s="517">
        <f>+I16*I23/100</f>
        <v>1.617</v>
      </c>
      <c r="J30" s="971">
        <f>+M16*J23/100</f>
        <v>1.617</v>
      </c>
      <c r="K30" s="972"/>
      <c r="L30" s="972"/>
      <c r="M30" s="973"/>
      <c r="N30" s="517">
        <f>+N16*N23/100</f>
        <v>1.6830000000000001</v>
      </c>
      <c r="O30" s="971">
        <f>+R16*O23/100</f>
        <v>1.6830000000000001</v>
      </c>
      <c r="P30" s="972"/>
      <c r="Q30" s="972"/>
      <c r="R30" s="973"/>
      <c r="S30" s="971">
        <f>+V16*S23/100</f>
        <v>1.7820000000000003</v>
      </c>
      <c r="T30" s="972"/>
      <c r="U30" s="972"/>
      <c r="V30" s="973"/>
      <c r="W30" s="971">
        <f>+Z16*W23/100</f>
        <v>1.8480000000000001</v>
      </c>
      <c r="X30" s="972"/>
      <c r="Y30" s="972"/>
      <c r="Z30" s="973"/>
      <c r="AA30" s="971">
        <f>+AD16*AA23/100</f>
        <v>1.9469999999999998</v>
      </c>
      <c r="AB30" s="972"/>
      <c r="AC30" s="972"/>
      <c r="AD30" s="973"/>
      <c r="AE30" s="971">
        <f>+AH16*AE23/100</f>
        <v>2.0129999999999999</v>
      </c>
      <c r="AF30" s="972"/>
      <c r="AG30" s="972"/>
      <c r="AH30" s="973"/>
      <c r="AI30" s="971">
        <f>+AL16*AI23/100</f>
        <v>2.1120000000000001</v>
      </c>
      <c r="AJ30" s="972"/>
      <c r="AK30" s="972"/>
      <c r="AL30" s="973"/>
      <c r="AM30" s="62"/>
    </row>
    <row r="31" spans="2:40" x14ac:dyDescent="0.25">
      <c r="B31" s="84"/>
      <c r="C31" s="151" t="s">
        <v>146</v>
      </c>
      <c r="D31" s="452"/>
      <c r="E31" s="991"/>
      <c r="F31" s="992"/>
      <c r="G31" s="992"/>
      <c r="H31" s="993"/>
      <c r="I31" s="441"/>
      <c r="J31" s="974"/>
      <c r="K31" s="975"/>
      <c r="L31" s="975"/>
      <c r="M31" s="976"/>
      <c r="N31" s="441"/>
      <c r="O31" s="974"/>
      <c r="P31" s="975"/>
      <c r="Q31" s="975"/>
      <c r="R31" s="976"/>
      <c r="S31" s="974"/>
      <c r="T31" s="975"/>
      <c r="U31" s="975"/>
      <c r="V31" s="976"/>
      <c r="W31" s="974"/>
      <c r="X31" s="975"/>
      <c r="Y31" s="975"/>
      <c r="Z31" s="976"/>
      <c r="AA31" s="416"/>
      <c r="AB31" s="416"/>
      <c r="AC31" s="416"/>
      <c r="AD31" s="416"/>
      <c r="AE31" s="974"/>
      <c r="AF31" s="975"/>
      <c r="AG31" s="975"/>
      <c r="AH31" s="976"/>
      <c r="AI31" s="974"/>
      <c r="AJ31" s="975"/>
      <c r="AK31" s="975"/>
      <c r="AL31" s="976"/>
      <c r="AM31" s="63"/>
      <c r="AN31" s="1013"/>
    </row>
    <row r="32" spans="2:40" x14ac:dyDescent="0.25">
      <c r="B32" s="84"/>
      <c r="C32" s="151" t="s">
        <v>147</v>
      </c>
      <c r="D32" s="452"/>
      <c r="E32" s="991"/>
      <c r="F32" s="992"/>
      <c r="G32" s="992"/>
      <c r="H32" s="993"/>
      <c r="I32" s="441"/>
      <c r="J32" s="974"/>
      <c r="K32" s="975"/>
      <c r="L32" s="975"/>
      <c r="M32" s="976"/>
      <c r="N32" s="441"/>
      <c r="O32" s="974"/>
      <c r="P32" s="975"/>
      <c r="Q32" s="975"/>
      <c r="R32" s="976"/>
      <c r="S32" s="974"/>
      <c r="T32" s="975"/>
      <c r="U32" s="975"/>
      <c r="V32" s="976"/>
      <c r="W32" s="974"/>
      <c r="X32" s="975"/>
      <c r="Y32" s="975"/>
      <c r="Z32" s="976"/>
      <c r="AA32" s="416"/>
      <c r="AB32" s="416"/>
      <c r="AC32" s="416"/>
      <c r="AD32" s="416"/>
      <c r="AE32" s="974"/>
      <c r="AF32" s="975"/>
      <c r="AG32" s="975"/>
      <c r="AH32" s="976"/>
      <c r="AI32" s="974"/>
      <c r="AJ32" s="975"/>
      <c r="AK32" s="975"/>
      <c r="AL32" s="976"/>
      <c r="AM32" s="59"/>
      <c r="AN32" s="1013"/>
    </row>
    <row r="33" spans="2:40" x14ac:dyDescent="0.25">
      <c r="B33" s="86" t="s">
        <v>153</v>
      </c>
      <c r="C33" s="87" t="s">
        <v>154</v>
      </c>
      <c r="D33" s="87"/>
      <c r="E33" s="87"/>
      <c r="F33" s="87"/>
      <c r="G33" s="87"/>
      <c r="H33" s="87"/>
      <c r="I33" s="126"/>
      <c r="J33" s="977"/>
      <c r="K33" s="977"/>
      <c r="L33" s="977"/>
      <c r="M33" s="977"/>
      <c r="N33" s="126"/>
      <c r="O33" s="977"/>
      <c r="P33" s="977"/>
      <c r="Q33" s="977"/>
      <c r="R33" s="977"/>
      <c r="S33" s="977"/>
      <c r="T33" s="977"/>
      <c r="U33" s="977"/>
      <c r="V33" s="977"/>
      <c r="W33" s="977"/>
      <c r="X33" s="977"/>
      <c r="Y33" s="977"/>
      <c r="Z33" s="977"/>
      <c r="AA33" s="126"/>
      <c r="AB33" s="126"/>
      <c r="AC33" s="126"/>
      <c r="AD33" s="126"/>
      <c r="AE33" s="977"/>
      <c r="AF33" s="977"/>
      <c r="AG33" s="977"/>
      <c r="AH33" s="977"/>
      <c r="AI33" s="977"/>
      <c r="AJ33" s="977"/>
      <c r="AK33" s="977"/>
      <c r="AL33" s="977"/>
      <c r="AM33" s="64"/>
      <c r="AN33" s="19"/>
    </row>
    <row r="34" spans="2:40" x14ac:dyDescent="0.25">
      <c r="B34" s="88"/>
      <c r="C34" s="89"/>
      <c r="D34" s="50" t="s">
        <v>136</v>
      </c>
      <c r="E34" s="50" t="s">
        <v>137</v>
      </c>
      <c r="F34" s="50" t="s">
        <v>138</v>
      </c>
      <c r="G34" s="50" t="s">
        <v>139</v>
      </c>
      <c r="H34" s="50" t="s">
        <v>136</v>
      </c>
      <c r="I34" s="50" t="s">
        <v>136</v>
      </c>
      <c r="J34" s="50" t="s">
        <v>137</v>
      </c>
      <c r="K34" s="50" t="s">
        <v>138</v>
      </c>
      <c r="L34" s="50" t="s">
        <v>139</v>
      </c>
      <c r="M34" s="50" t="s">
        <v>136</v>
      </c>
      <c r="N34" s="50" t="s">
        <v>136</v>
      </c>
      <c r="O34" s="50" t="s">
        <v>137</v>
      </c>
      <c r="P34" s="50" t="s">
        <v>138</v>
      </c>
      <c r="Q34" s="50" t="s">
        <v>139</v>
      </c>
      <c r="R34" s="50" t="s">
        <v>136</v>
      </c>
      <c r="S34" s="50" t="s">
        <v>137</v>
      </c>
      <c r="T34" s="50" t="s">
        <v>138</v>
      </c>
      <c r="U34" s="50" t="s">
        <v>139</v>
      </c>
      <c r="V34" s="50" t="s">
        <v>136</v>
      </c>
      <c r="W34" s="50" t="s">
        <v>137</v>
      </c>
      <c r="X34" s="50" t="s">
        <v>138</v>
      </c>
      <c r="Y34" s="50" t="s">
        <v>139</v>
      </c>
      <c r="Z34" s="50" t="s">
        <v>136</v>
      </c>
      <c r="AA34" s="50" t="s">
        <v>137</v>
      </c>
      <c r="AB34" s="50" t="s">
        <v>138</v>
      </c>
      <c r="AC34" s="50" t="s">
        <v>139</v>
      </c>
      <c r="AD34" s="50" t="s">
        <v>136</v>
      </c>
      <c r="AE34" s="50" t="s">
        <v>137</v>
      </c>
      <c r="AF34" s="50" t="s">
        <v>138</v>
      </c>
      <c r="AG34" s="50" t="s">
        <v>139</v>
      </c>
      <c r="AH34" s="50" t="s">
        <v>136</v>
      </c>
      <c r="AI34" s="50" t="s">
        <v>137</v>
      </c>
      <c r="AJ34" s="50" t="s">
        <v>138</v>
      </c>
      <c r="AK34" s="50" t="s">
        <v>139</v>
      </c>
      <c r="AL34" s="50" t="s">
        <v>136</v>
      </c>
      <c r="AM34" s="65"/>
      <c r="AN34" s="19"/>
    </row>
    <row r="35" spans="2:40" x14ac:dyDescent="0.25">
      <c r="B35" s="82">
        <v>2</v>
      </c>
      <c r="C35" s="83" t="s">
        <v>155</v>
      </c>
      <c r="D35" s="83"/>
      <c r="E35" s="83"/>
      <c r="F35" s="83"/>
      <c r="G35" s="83"/>
      <c r="H35" s="83"/>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61"/>
    </row>
    <row r="36" spans="2:40" x14ac:dyDescent="0.25">
      <c r="B36" s="82"/>
      <c r="C36" s="83"/>
      <c r="D36" s="83"/>
      <c r="E36" s="83"/>
      <c r="F36" s="83"/>
      <c r="G36" s="83"/>
      <c r="H36" s="83"/>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61"/>
    </row>
    <row r="37" spans="2:40" x14ac:dyDescent="0.25">
      <c r="B37" s="82" t="s">
        <v>156</v>
      </c>
      <c r="C37" s="94" t="s">
        <v>157</v>
      </c>
      <c r="D37" s="94"/>
      <c r="E37" s="94"/>
      <c r="F37" s="94"/>
      <c r="G37" s="94"/>
      <c r="H37" s="94"/>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61"/>
    </row>
    <row r="38" spans="2:40" x14ac:dyDescent="0.25">
      <c r="B38" s="90"/>
      <c r="C38" s="151" t="s">
        <v>144</v>
      </c>
      <c r="D38" s="151"/>
      <c r="E38" s="151"/>
      <c r="F38" s="151"/>
      <c r="G38" s="151"/>
      <c r="H38" s="151"/>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61"/>
    </row>
    <row r="39" spans="2:40" x14ac:dyDescent="0.25">
      <c r="B39" s="90"/>
      <c r="C39" s="151" t="s">
        <v>145</v>
      </c>
      <c r="D39" s="587">
        <f>+'F2.2'!D29</f>
        <v>4</v>
      </c>
      <c r="E39" s="587">
        <v>4</v>
      </c>
      <c r="F39" s="84"/>
      <c r="G39" s="515">
        <f>+'F2.2'!D29</f>
        <v>4</v>
      </c>
      <c r="H39" s="515">
        <f>AVERAGE(G39,E39)</f>
        <v>4</v>
      </c>
      <c r="I39" s="516">
        <f>+D39</f>
        <v>4</v>
      </c>
      <c r="J39" s="516">
        <f>+E39</f>
        <v>4</v>
      </c>
      <c r="K39" s="26"/>
      <c r="L39" s="516">
        <f>+'F2.2'!E29</f>
        <v>4</v>
      </c>
      <c r="M39" s="515">
        <f>AVERAGE(L39,J39)</f>
        <v>4</v>
      </c>
      <c r="N39" s="516">
        <f>+I39</f>
        <v>4</v>
      </c>
      <c r="O39" s="516">
        <f>+J39</f>
        <v>4</v>
      </c>
      <c r="P39" s="26"/>
      <c r="Q39" s="516">
        <f>+'F2.2'!J29</f>
        <v>4</v>
      </c>
      <c r="R39" s="515">
        <f>AVERAGE(Q39,O39)</f>
        <v>4</v>
      </c>
      <c r="S39" s="516">
        <f>+O39</f>
        <v>4</v>
      </c>
      <c r="T39" s="26"/>
      <c r="U39" s="516">
        <f>+'F2.2'!I29</f>
        <v>4</v>
      </c>
      <c r="V39" s="515">
        <f>AVERAGE(U39,S39)</f>
        <v>4</v>
      </c>
      <c r="W39" s="516">
        <f>+S39</f>
        <v>4</v>
      </c>
      <c r="X39" s="26"/>
      <c r="Y39" s="516">
        <f>+'F2.2'!J29</f>
        <v>4</v>
      </c>
      <c r="Z39" s="515">
        <f>AVERAGE(Y39,W39)</f>
        <v>4</v>
      </c>
      <c r="AA39" s="516">
        <f>+W39</f>
        <v>4</v>
      </c>
      <c r="AB39" s="26"/>
      <c r="AC39" s="516">
        <f>+'F2.2'!K29</f>
        <v>4</v>
      </c>
      <c r="AD39" s="515">
        <f>AVERAGE(AC39,AA39)</f>
        <v>4</v>
      </c>
      <c r="AE39" s="516">
        <f>+AA39</f>
        <v>4</v>
      </c>
      <c r="AF39" s="26"/>
      <c r="AG39" s="516">
        <f>+'F2.2'!L29</f>
        <v>4</v>
      </c>
      <c r="AH39" s="515">
        <f>AVERAGE(AG39,AE39)</f>
        <v>4</v>
      </c>
      <c r="AI39" s="516">
        <f>+AE39</f>
        <v>4</v>
      </c>
      <c r="AJ39" s="26"/>
      <c r="AK39" s="516">
        <f>+'F2.2'!M29</f>
        <v>4</v>
      </c>
      <c r="AL39" s="515">
        <f>AVERAGE(AK39,AI39)</f>
        <v>4</v>
      </c>
      <c r="AM39" s="26"/>
      <c r="AN39" s="19"/>
    </row>
    <row r="40" spans="2:40" x14ac:dyDescent="0.25">
      <c r="B40" s="90"/>
      <c r="C40" s="151" t="s">
        <v>146</v>
      </c>
      <c r="D40" s="151"/>
      <c r="E40" s="151"/>
      <c r="F40" s="151"/>
      <c r="G40" s="151"/>
      <c r="H40" s="151"/>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61"/>
    </row>
    <row r="41" spans="2:40" x14ac:dyDescent="0.25">
      <c r="B41" s="90"/>
      <c r="C41" s="151" t="s">
        <v>147</v>
      </c>
      <c r="D41" s="151"/>
      <c r="E41" s="151"/>
      <c r="F41" s="151"/>
      <c r="G41" s="151"/>
      <c r="H41" s="151"/>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61"/>
    </row>
    <row r="42" spans="2:40" x14ac:dyDescent="0.25">
      <c r="B42" s="90"/>
      <c r="C42" s="85"/>
      <c r="D42" s="440"/>
      <c r="E42" s="994"/>
      <c r="F42" s="995"/>
      <c r="G42" s="995"/>
      <c r="H42" s="996"/>
      <c r="I42" s="440"/>
      <c r="J42" s="978"/>
      <c r="K42" s="978"/>
      <c r="L42" s="978"/>
      <c r="M42" s="978"/>
      <c r="N42" s="440"/>
      <c r="O42" s="978"/>
      <c r="P42" s="978"/>
      <c r="Q42" s="978"/>
      <c r="R42" s="978"/>
      <c r="S42" s="978"/>
      <c r="T42" s="978"/>
      <c r="U42" s="978"/>
      <c r="V42" s="978"/>
      <c r="W42" s="978"/>
      <c r="X42" s="978"/>
      <c r="Y42" s="978"/>
      <c r="Z42" s="978"/>
      <c r="AA42" s="417"/>
      <c r="AB42" s="417"/>
      <c r="AC42" s="417"/>
      <c r="AD42" s="417"/>
      <c r="AE42" s="978"/>
      <c r="AF42" s="978"/>
      <c r="AG42" s="978"/>
      <c r="AH42" s="978"/>
      <c r="AI42" s="978"/>
      <c r="AJ42" s="978"/>
      <c r="AK42" s="978"/>
      <c r="AL42" s="978"/>
      <c r="AM42" s="61"/>
    </row>
    <row r="43" spans="2:40" x14ac:dyDescent="0.25">
      <c r="B43" s="82" t="s">
        <v>158</v>
      </c>
      <c r="C43" s="96" t="s">
        <v>159</v>
      </c>
      <c r="D43" s="440"/>
      <c r="E43" s="994"/>
      <c r="F43" s="995"/>
      <c r="G43" s="995"/>
      <c r="H43" s="996"/>
      <c r="I43" s="440"/>
      <c r="J43" s="978"/>
      <c r="K43" s="978"/>
      <c r="L43" s="978"/>
      <c r="M43" s="978"/>
      <c r="N43" s="440"/>
      <c r="O43" s="978"/>
      <c r="P43" s="978"/>
      <c r="Q43" s="978"/>
      <c r="R43" s="978"/>
      <c r="S43" s="978"/>
      <c r="T43" s="978"/>
      <c r="U43" s="978"/>
      <c r="V43" s="978"/>
      <c r="W43" s="978"/>
      <c r="X43" s="978"/>
      <c r="Y43" s="978"/>
      <c r="Z43" s="978"/>
      <c r="AA43" s="417"/>
      <c r="AB43" s="417"/>
      <c r="AC43" s="417"/>
      <c r="AD43" s="417"/>
      <c r="AE43" s="978"/>
      <c r="AF43" s="978"/>
      <c r="AG43" s="978"/>
      <c r="AH43" s="978"/>
      <c r="AI43" s="978"/>
      <c r="AJ43" s="978"/>
      <c r="AK43" s="978"/>
      <c r="AL43" s="978"/>
      <c r="AM43" s="61"/>
    </row>
    <row r="44" spans="2:40" x14ac:dyDescent="0.25">
      <c r="B44" s="90"/>
      <c r="C44" s="151" t="s">
        <v>144</v>
      </c>
      <c r="D44" s="440"/>
      <c r="E44" s="994"/>
      <c r="F44" s="995"/>
      <c r="G44" s="995"/>
      <c r="H44" s="996"/>
      <c r="I44" s="440"/>
      <c r="J44" s="978"/>
      <c r="K44" s="978"/>
      <c r="L44" s="978"/>
      <c r="M44" s="978"/>
      <c r="N44" s="440"/>
      <c r="O44" s="978"/>
      <c r="P44" s="978"/>
      <c r="Q44" s="978"/>
      <c r="R44" s="978"/>
      <c r="S44" s="978"/>
      <c r="T44" s="978"/>
      <c r="U44" s="978"/>
      <c r="V44" s="978"/>
      <c r="W44" s="978"/>
      <c r="X44" s="978"/>
      <c r="Y44" s="978"/>
      <c r="Z44" s="978"/>
      <c r="AA44" s="417"/>
      <c r="AB44" s="417"/>
      <c r="AC44" s="417"/>
      <c r="AD44" s="417"/>
      <c r="AE44" s="978"/>
      <c r="AF44" s="978"/>
      <c r="AG44" s="978"/>
      <c r="AH44" s="978"/>
      <c r="AI44" s="978"/>
      <c r="AJ44" s="978"/>
      <c r="AK44" s="978"/>
      <c r="AL44" s="978"/>
      <c r="AM44" s="61"/>
    </row>
    <row r="45" spans="2:40" x14ac:dyDescent="0.25">
      <c r="B45" s="90"/>
      <c r="C45" s="151" t="s">
        <v>145</v>
      </c>
      <c r="D45" s="440">
        <v>83.09</v>
      </c>
      <c r="E45" s="994">
        <v>83.09</v>
      </c>
      <c r="F45" s="995"/>
      <c r="G45" s="995"/>
      <c r="H45" s="996"/>
      <c r="I45" s="440">
        <v>86.29</v>
      </c>
      <c r="J45" s="978">
        <v>86.29</v>
      </c>
      <c r="K45" s="978"/>
      <c r="L45" s="978"/>
      <c r="M45" s="978"/>
      <c r="N45" s="440">
        <v>89.61</v>
      </c>
      <c r="O45" s="978">
        <v>89.61</v>
      </c>
      <c r="P45" s="978"/>
      <c r="Q45" s="978"/>
      <c r="R45" s="978"/>
      <c r="S45" s="978">
        <v>95.83</v>
      </c>
      <c r="T45" s="978"/>
      <c r="U45" s="978"/>
      <c r="V45" s="978"/>
      <c r="W45" s="978">
        <v>100.14</v>
      </c>
      <c r="X45" s="978"/>
      <c r="Y45" s="978"/>
      <c r="Z45" s="978"/>
      <c r="AA45" s="978">
        <v>104.63</v>
      </c>
      <c r="AB45" s="978"/>
      <c r="AC45" s="978"/>
      <c r="AD45" s="978"/>
      <c r="AE45" s="978">
        <v>109.33</v>
      </c>
      <c r="AF45" s="978"/>
      <c r="AG45" s="978"/>
      <c r="AH45" s="978"/>
      <c r="AI45" s="1014">
        <v>114.24</v>
      </c>
      <c r="AJ45" s="1014"/>
      <c r="AK45" s="1014"/>
      <c r="AL45" s="1014"/>
      <c r="AM45" s="61"/>
    </row>
    <row r="46" spans="2:40" x14ac:dyDescent="0.25">
      <c r="B46" s="90"/>
      <c r="C46" s="151" t="s">
        <v>146</v>
      </c>
      <c r="D46" s="440"/>
      <c r="E46" s="994"/>
      <c r="F46" s="995"/>
      <c r="G46" s="995"/>
      <c r="H46" s="996"/>
      <c r="I46" s="440"/>
      <c r="J46" s="978"/>
      <c r="K46" s="978"/>
      <c r="L46" s="978"/>
      <c r="M46" s="978"/>
      <c r="N46" s="440"/>
      <c r="O46" s="978"/>
      <c r="P46" s="978"/>
      <c r="Q46" s="978"/>
      <c r="R46" s="978"/>
      <c r="S46" s="978"/>
      <c r="T46" s="978"/>
      <c r="U46" s="978"/>
      <c r="V46" s="978"/>
      <c r="W46" s="978"/>
      <c r="X46" s="978"/>
      <c r="Y46" s="978"/>
      <c r="Z46" s="978"/>
      <c r="AA46" s="417"/>
      <c r="AB46" s="417"/>
      <c r="AC46" s="417"/>
      <c r="AD46" s="417"/>
      <c r="AE46" s="978"/>
      <c r="AF46" s="978"/>
      <c r="AG46" s="978"/>
      <c r="AH46" s="978"/>
      <c r="AI46" s="978"/>
      <c r="AJ46" s="978"/>
      <c r="AK46" s="978"/>
      <c r="AL46" s="978"/>
      <c r="AM46" s="61"/>
    </row>
    <row r="47" spans="2:40" x14ac:dyDescent="0.25">
      <c r="B47" s="90"/>
      <c r="C47" s="151" t="s">
        <v>147</v>
      </c>
      <c r="D47" s="440"/>
      <c r="E47" s="994"/>
      <c r="F47" s="995"/>
      <c r="G47" s="995"/>
      <c r="H47" s="996"/>
      <c r="I47" s="440"/>
      <c r="J47" s="978"/>
      <c r="K47" s="978"/>
      <c r="L47" s="978"/>
      <c r="M47" s="978"/>
      <c r="N47" s="440"/>
      <c r="O47" s="978"/>
      <c r="P47" s="978"/>
      <c r="Q47" s="978"/>
      <c r="R47" s="978"/>
      <c r="S47" s="978"/>
      <c r="T47" s="978"/>
      <c r="U47" s="978"/>
      <c r="V47" s="978"/>
      <c r="W47" s="978"/>
      <c r="X47" s="978"/>
      <c r="Y47" s="978"/>
      <c r="Z47" s="978"/>
      <c r="AA47" s="417"/>
      <c r="AB47" s="417"/>
      <c r="AC47" s="417"/>
      <c r="AD47" s="417"/>
      <c r="AE47" s="978"/>
      <c r="AF47" s="978"/>
      <c r="AG47" s="978"/>
      <c r="AH47" s="978"/>
      <c r="AI47" s="978"/>
      <c r="AJ47" s="978"/>
      <c r="AK47" s="978"/>
      <c r="AL47" s="978"/>
      <c r="AM47" s="61"/>
    </row>
    <row r="48" spans="2:40" x14ac:dyDescent="0.25">
      <c r="B48" s="90"/>
      <c r="C48" s="85"/>
      <c r="D48" s="440"/>
      <c r="E48" s="994"/>
      <c r="F48" s="995"/>
      <c r="G48" s="995"/>
      <c r="H48" s="996"/>
      <c r="I48" s="440"/>
      <c r="J48" s="978"/>
      <c r="K48" s="978"/>
      <c r="L48" s="978"/>
      <c r="M48" s="978"/>
      <c r="N48" s="440"/>
      <c r="O48" s="978"/>
      <c r="P48" s="978"/>
      <c r="Q48" s="978"/>
      <c r="R48" s="978"/>
      <c r="S48" s="978"/>
      <c r="T48" s="978"/>
      <c r="U48" s="978"/>
      <c r="V48" s="978"/>
      <c r="W48" s="978"/>
      <c r="X48" s="978"/>
      <c r="Y48" s="978"/>
      <c r="Z48" s="978"/>
      <c r="AA48" s="417"/>
      <c r="AB48" s="417"/>
      <c r="AC48" s="417"/>
      <c r="AD48" s="417"/>
      <c r="AE48" s="978"/>
      <c r="AF48" s="978"/>
      <c r="AG48" s="978"/>
      <c r="AH48" s="978"/>
      <c r="AI48" s="978"/>
      <c r="AJ48" s="978"/>
      <c r="AK48" s="978"/>
      <c r="AL48" s="978"/>
      <c r="AM48" s="61"/>
    </row>
    <row r="49" spans="2:40" x14ac:dyDescent="0.25">
      <c r="B49" s="82" t="s">
        <v>160</v>
      </c>
      <c r="C49" s="94" t="s">
        <v>161</v>
      </c>
      <c r="D49" s="440"/>
      <c r="E49" s="994"/>
      <c r="F49" s="995"/>
      <c r="G49" s="995"/>
      <c r="H49" s="996"/>
      <c r="I49" s="440"/>
      <c r="J49" s="978"/>
      <c r="K49" s="978"/>
      <c r="L49" s="978"/>
      <c r="M49" s="978"/>
      <c r="N49" s="440"/>
      <c r="O49" s="978"/>
      <c r="P49" s="978"/>
      <c r="Q49" s="978"/>
      <c r="R49" s="978"/>
      <c r="S49" s="978"/>
      <c r="T49" s="978"/>
      <c r="U49" s="978"/>
      <c r="V49" s="978"/>
      <c r="W49" s="978"/>
      <c r="X49" s="978"/>
      <c r="Y49" s="978"/>
      <c r="Z49" s="978"/>
      <c r="AA49" s="417"/>
      <c r="AB49" s="417"/>
      <c r="AC49" s="417"/>
      <c r="AD49" s="417"/>
      <c r="AE49" s="978"/>
      <c r="AF49" s="978"/>
      <c r="AG49" s="978"/>
      <c r="AH49" s="978"/>
      <c r="AI49" s="978"/>
      <c r="AJ49" s="978"/>
      <c r="AK49" s="978"/>
      <c r="AL49" s="978"/>
      <c r="AM49" s="61"/>
    </row>
    <row r="50" spans="2:40" x14ac:dyDescent="0.25">
      <c r="B50" s="90"/>
      <c r="C50" s="151" t="s">
        <v>144</v>
      </c>
      <c r="D50" s="440"/>
      <c r="E50" s="994"/>
      <c r="F50" s="995"/>
      <c r="G50" s="995"/>
      <c r="H50" s="996"/>
      <c r="I50" s="440"/>
      <c r="J50" s="978"/>
      <c r="K50" s="978"/>
      <c r="L50" s="978"/>
      <c r="M50" s="978"/>
      <c r="N50" s="440"/>
      <c r="O50" s="978"/>
      <c r="P50" s="978"/>
      <c r="Q50" s="978"/>
      <c r="R50" s="978"/>
      <c r="S50" s="978"/>
      <c r="T50" s="978"/>
      <c r="U50" s="978"/>
      <c r="V50" s="978"/>
      <c r="W50" s="978"/>
      <c r="X50" s="978"/>
      <c r="Y50" s="978"/>
      <c r="Z50" s="978"/>
      <c r="AA50" s="417"/>
      <c r="AB50" s="417"/>
      <c r="AC50" s="417"/>
      <c r="AD50" s="417"/>
      <c r="AE50" s="978"/>
      <c r="AF50" s="978"/>
      <c r="AG50" s="978"/>
      <c r="AH50" s="978"/>
      <c r="AI50" s="978"/>
      <c r="AJ50" s="978"/>
      <c r="AK50" s="978"/>
      <c r="AL50" s="978"/>
      <c r="AM50" s="61"/>
    </row>
    <row r="51" spans="2:40" x14ac:dyDescent="0.25">
      <c r="B51" s="90"/>
      <c r="C51" s="151" t="s">
        <v>145</v>
      </c>
      <c r="D51" s="517">
        <f>+D39*D45/100</f>
        <v>3.3236000000000003</v>
      </c>
      <c r="E51" s="979">
        <f>+H39*E45/100</f>
        <v>3.3236000000000003</v>
      </c>
      <c r="F51" s="980"/>
      <c r="G51" s="980"/>
      <c r="H51" s="981"/>
      <c r="I51" s="517">
        <f>+I39*I45/100</f>
        <v>3.4516000000000004</v>
      </c>
      <c r="J51" s="979">
        <f>+M39*J45/100</f>
        <v>3.4516000000000004</v>
      </c>
      <c r="K51" s="980"/>
      <c r="L51" s="980"/>
      <c r="M51" s="981"/>
      <c r="N51" s="517">
        <f>+N39*N45/100</f>
        <v>3.5844</v>
      </c>
      <c r="O51" s="979">
        <f>+R39*O45/100</f>
        <v>3.5844</v>
      </c>
      <c r="P51" s="980"/>
      <c r="Q51" s="980"/>
      <c r="R51" s="981"/>
      <c r="S51" s="979">
        <f>+V39*S45/100</f>
        <v>3.8331999999999997</v>
      </c>
      <c r="T51" s="980"/>
      <c r="U51" s="980"/>
      <c r="V51" s="981"/>
      <c r="W51" s="979">
        <f>+Z39*W45/100</f>
        <v>4.0056000000000003</v>
      </c>
      <c r="X51" s="980"/>
      <c r="Y51" s="980"/>
      <c r="Z51" s="981"/>
      <c r="AA51" s="979">
        <f>+AD39*AA45/100</f>
        <v>4.1852</v>
      </c>
      <c r="AB51" s="980"/>
      <c r="AC51" s="980"/>
      <c r="AD51" s="981"/>
      <c r="AE51" s="979">
        <f>+AH39*AE45/100</f>
        <v>4.3731999999999998</v>
      </c>
      <c r="AF51" s="980"/>
      <c r="AG51" s="980"/>
      <c r="AH51" s="981"/>
      <c r="AI51" s="979">
        <f>+AL39*AI45/100</f>
        <v>4.5695999999999994</v>
      </c>
      <c r="AJ51" s="980"/>
      <c r="AK51" s="980"/>
      <c r="AL51" s="981"/>
      <c r="AM51" s="61"/>
    </row>
    <row r="52" spans="2:40" x14ac:dyDescent="0.25">
      <c r="B52" s="90"/>
      <c r="C52" s="151" t="s">
        <v>146</v>
      </c>
      <c r="D52" s="440"/>
      <c r="E52" s="994"/>
      <c r="F52" s="995"/>
      <c r="G52" s="995"/>
      <c r="H52" s="996"/>
      <c r="I52" s="440"/>
      <c r="J52" s="978"/>
      <c r="K52" s="978"/>
      <c r="L52" s="978"/>
      <c r="M52" s="978"/>
      <c r="N52" s="440"/>
      <c r="O52" s="978"/>
      <c r="P52" s="978"/>
      <c r="Q52" s="978"/>
      <c r="R52" s="978"/>
      <c r="S52" s="978"/>
      <c r="T52" s="978"/>
      <c r="U52" s="978"/>
      <c r="V52" s="978"/>
      <c r="W52" s="978"/>
      <c r="X52" s="978"/>
      <c r="Y52" s="978"/>
      <c r="Z52" s="978"/>
      <c r="AA52" s="417"/>
      <c r="AB52" s="417"/>
      <c r="AC52" s="417"/>
      <c r="AD52" s="417"/>
      <c r="AE52" s="978"/>
      <c r="AF52" s="978"/>
      <c r="AG52" s="978"/>
      <c r="AH52" s="978"/>
      <c r="AI52" s="978"/>
      <c r="AJ52" s="978"/>
      <c r="AK52" s="978"/>
      <c r="AL52" s="978"/>
      <c r="AM52" s="61"/>
    </row>
    <row r="53" spans="2:40" x14ac:dyDescent="0.25">
      <c r="B53" s="90"/>
      <c r="C53" s="151" t="s">
        <v>147</v>
      </c>
      <c r="D53" s="440"/>
      <c r="E53" s="994"/>
      <c r="F53" s="995"/>
      <c r="G53" s="995"/>
      <c r="H53" s="996"/>
      <c r="I53" s="440"/>
      <c r="J53" s="978"/>
      <c r="K53" s="978"/>
      <c r="L53" s="978"/>
      <c r="M53" s="978"/>
      <c r="N53" s="440"/>
      <c r="O53" s="978"/>
      <c r="P53" s="978"/>
      <c r="Q53" s="978"/>
      <c r="R53" s="978"/>
      <c r="S53" s="978"/>
      <c r="T53" s="978"/>
      <c r="U53" s="978"/>
      <c r="V53" s="978"/>
      <c r="W53" s="978"/>
      <c r="X53" s="978"/>
      <c r="Y53" s="978"/>
      <c r="Z53" s="978"/>
      <c r="AA53" s="417"/>
      <c r="AB53" s="417"/>
      <c r="AC53" s="417"/>
      <c r="AD53" s="417"/>
      <c r="AE53" s="978"/>
      <c r="AF53" s="978"/>
      <c r="AG53" s="978"/>
      <c r="AH53" s="978"/>
      <c r="AI53" s="978"/>
      <c r="AJ53" s="978"/>
      <c r="AK53" s="978"/>
      <c r="AL53" s="978"/>
      <c r="AM53" s="61"/>
    </row>
    <row r="54" spans="2:40" x14ac:dyDescent="0.25">
      <c r="B54" s="86" t="s">
        <v>162</v>
      </c>
      <c r="C54" s="87" t="s">
        <v>154</v>
      </c>
      <c r="D54" s="421"/>
      <c r="E54" s="421"/>
      <c r="F54" s="421"/>
      <c r="G54" s="421"/>
      <c r="H54" s="421"/>
      <c r="I54" s="442"/>
      <c r="J54" s="977"/>
      <c r="K54" s="977"/>
      <c r="L54" s="977"/>
      <c r="M54" s="977"/>
      <c r="N54" s="126"/>
      <c r="O54" s="977"/>
      <c r="P54" s="977"/>
      <c r="Q54" s="977"/>
      <c r="R54" s="977"/>
      <c r="S54" s="977"/>
      <c r="T54" s="977"/>
      <c r="U54" s="977"/>
      <c r="V54" s="977"/>
      <c r="W54" s="977"/>
      <c r="X54" s="977"/>
      <c r="Y54" s="977"/>
      <c r="Z54" s="977"/>
      <c r="AA54" s="126"/>
      <c r="AB54" s="126"/>
      <c r="AC54" s="126"/>
      <c r="AD54" s="126"/>
      <c r="AE54" s="977"/>
      <c r="AF54" s="977"/>
      <c r="AG54" s="977"/>
      <c r="AH54" s="977"/>
      <c r="AI54" s="977"/>
      <c r="AJ54" s="977"/>
      <c r="AK54" s="977"/>
      <c r="AL54" s="977"/>
      <c r="AM54" s="66"/>
    </row>
    <row r="55" spans="2:40" x14ac:dyDescent="0.25">
      <c r="B55" s="88"/>
      <c r="C55" s="89"/>
      <c r="D55" s="982" t="s">
        <v>163</v>
      </c>
      <c r="E55" s="983"/>
      <c r="F55" s="983"/>
      <c r="G55" s="983"/>
      <c r="H55" s="983"/>
      <c r="I55" s="983"/>
      <c r="J55" s="983"/>
      <c r="K55" s="983"/>
      <c r="L55" s="983"/>
      <c r="M55" s="983"/>
      <c r="N55" s="983"/>
      <c r="O55" s="983"/>
      <c r="P55" s="983"/>
      <c r="Q55" s="983"/>
      <c r="R55" s="984"/>
      <c r="S55" s="50" t="s">
        <v>137</v>
      </c>
      <c r="T55" s="50" t="s">
        <v>138</v>
      </c>
      <c r="U55" s="50" t="s">
        <v>139</v>
      </c>
      <c r="V55" s="50" t="s">
        <v>136</v>
      </c>
      <c r="W55" s="50" t="s">
        <v>137</v>
      </c>
      <c r="X55" s="50" t="s">
        <v>138</v>
      </c>
      <c r="Y55" s="50" t="s">
        <v>139</v>
      </c>
      <c r="Z55" s="50" t="s">
        <v>136</v>
      </c>
      <c r="AA55" s="50" t="s">
        <v>137</v>
      </c>
      <c r="AB55" s="50" t="s">
        <v>138</v>
      </c>
      <c r="AC55" s="50" t="s">
        <v>139</v>
      </c>
      <c r="AD55" s="50" t="s">
        <v>136</v>
      </c>
      <c r="AE55" s="50" t="s">
        <v>137</v>
      </c>
      <c r="AF55" s="50" t="s">
        <v>138</v>
      </c>
      <c r="AG55" s="50" t="s">
        <v>139</v>
      </c>
      <c r="AH55" s="50" t="s">
        <v>136</v>
      </c>
      <c r="AI55" s="50" t="s">
        <v>137</v>
      </c>
      <c r="AJ55" s="50" t="s">
        <v>138</v>
      </c>
      <c r="AK55" s="50" t="s">
        <v>139</v>
      </c>
      <c r="AL55" s="50" t="s">
        <v>136</v>
      </c>
      <c r="AM55" s="65"/>
      <c r="AN55" s="19"/>
    </row>
    <row r="56" spans="2:40" x14ac:dyDescent="0.25">
      <c r="B56" s="82">
        <v>3</v>
      </c>
      <c r="C56" s="83" t="s">
        <v>164</v>
      </c>
      <c r="D56" s="985"/>
      <c r="E56" s="986"/>
      <c r="F56" s="986"/>
      <c r="G56" s="986"/>
      <c r="H56" s="986"/>
      <c r="I56" s="986"/>
      <c r="J56" s="986"/>
      <c r="K56" s="986"/>
      <c r="L56" s="986"/>
      <c r="M56" s="986"/>
      <c r="N56" s="986"/>
      <c r="O56" s="986"/>
      <c r="P56" s="986"/>
      <c r="Q56" s="986"/>
      <c r="R56" s="987"/>
      <c r="S56" s="40"/>
      <c r="T56" s="40"/>
      <c r="U56" s="40"/>
      <c r="V56" s="40"/>
      <c r="W56" s="40"/>
      <c r="X56" s="40"/>
      <c r="Y56" s="40"/>
      <c r="Z56" s="40"/>
      <c r="AA56" s="40"/>
      <c r="AB56" s="40"/>
      <c r="AC56" s="40"/>
      <c r="AD56" s="40"/>
      <c r="AE56" s="40"/>
      <c r="AF56" s="40"/>
      <c r="AG56" s="40"/>
      <c r="AH56" s="40"/>
      <c r="AI56" s="40"/>
      <c r="AJ56" s="40"/>
      <c r="AK56" s="40"/>
      <c r="AL56" s="40"/>
      <c r="AM56" s="61"/>
    </row>
    <row r="57" spans="2:40" x14ac:dyDescent="0.25">
      <c r="B57" s="82"/>
      <c r="C57" s="83"/>
      <c r="D57" s="985"/>
      <c r="E57" s="986"/>
      <c r="F57" s="986"/>
      <c r="G57" s="986"/>
      <c r="H57" s="986"/>
      <c r="I57" s="986"/>
      <c r="J57" s="986"/>
      <c r="K57" s="986"/>
      <c r="L57" s="986"/>
      <c r="M57" s="986"/>
      <c r="N57" s="986"/>
      <c r="O57" s="986"/>
      <c r="P57" s="986"/>
      <c r="Q57" s="986"/>
      <c r="R57" s="987"/>
      <c r="S57" s="40"/>
      <c r="T57" s="40"/>
      <c r="U57" s="40"/>
      <c r="V57" s="40"/>
      <c r="W57" s="40"/>
      <c r="X57" s="40"/>
      <c r="Y57" s="40"/>
      <c r="Z57" s="40"/>
      <c r="AA57" s="40"/>
      <c r="AB57" s="40"/>
      <c r="AC57" s="40"/>
      <c r="AD57" s="40"/>
      <c r="AE57" s="40"/>
      <c r="AF57" s="40"/>
      <c r="AG57" s="40"/>
      <c r="AH57" s="40"/>
      <c r="AI57" s="40"/>
      <c r="AJ57" s="40"/>
      <c r="AK57" s="40"/>
      <c r="AL57" s="40"/>
      <c r="AM57" s="61"/>
    </row>
    <row r="58" spans="2:40" x14ac:dyDescent="0.25">
      <c r="B58" s="82" t="s">
        <v>165</v>
      </c>
      <c r="C58" s="94" t="s">
        <v>166</v>
      </c>
      <c r="D58" s="985"/>
      <c r="E58" s="986"/>
      <c r="F58" s="986"/>
      <c r="G58" s="986"/>
      <c r="H58" s="986"/>
      <c r="I58" s="986"/>
      <c r="J58" s="986"/>
      <c r="K58" s="986"/>
      <c r="L58" s="986"/>
      <c r="M58" s="986"/>
      <c r="N58" s="986"/>
      <c r="O58" s="986"/>
      <c r="P58" s="986"/>
      <c r="Q58" s="986"/>
      <c r="R58" s="987"/>
      <c r="S58" s="40"/>
      <c r="T58" s="40"/>
      <c r="U58" s="40"/>
      <c r="V58" s="40"/>
      <c r="W58" s="40"/>
      <c r="X58" s="40"/>
      <c r="Y58" s="40"/>
      <c r="Z58" s="40"/>
      <c r="AA58" s="40"/>
      <c r="AB58" s="40"/>
      <c r="AC58" s="40"/>
      <c r="AD58" s="40"/>
      <c r="AE58" s="40"/>
      <c r="AF58" s="40"/>
      <c r="AG58" s="40"/>
      <c r="AH58" s="40"/>
      <c r="AI58" s="40"/>
      <c r="AJ58" s="40"/>
      <c r="AK58" s="40"/>
      <c r="AL58" s="40"/>
      <c r="AM58" s="61"/>
    </row>
    <row r="59" spans="2:40" x14ac:dyDescent="0.25">
      <c r="B59" s="90"/>
      <c r="C59" s="151" t="s">
        <v>167</v>
      </c>
      <c r="D59" s="985"/>
      <c r="E59" s="986"/>
      <c r="F59" s="986"/>
      <c r="G59" s="986"/>
      <c r="H59" s="986"/>
      <c r="I59" s="986"/>
      <c r="J59" s="986"/>
      <c r="K59" s="986"/>
      <c r="L59" s="986"/>
      <c r="M59" s="986"/>
      <c r="N59" s="986"/>
      <c r="O59" s="986"/>
      <c r="P59" s="986"/>
      <c r="Q59" s="986"/>
      <c r="R59" s="987"/>
      <c r="S59" s="40"/>
      <c r="T59" s="40"/>
      <c r="U59" s="40"/>
      <c r="V59" s="40"/>
      <c r="W59" s="40"/>
      <c r="X59" s="40"/>
      <c r="Y59" s="40"/>
      <c r="Z59" s="40"/>
      <c r="AA59" s="40"/>
      <c r="AB59" s="40"/>
      <c r="AC59" s="40"/>
      <c r="AD59" s="40"/>
      <c r="AE59" s="40"/>
      <c r="AF59" s="40"/>
      <c r="AG59" s="40"/>
      <c r="AH59" s="40"/>
      <c r="AI59" s="40"/>
      <c r="AJ59" s="40"/>
      <c r="AK59" s="40"/>
      <c r="AL59" s="40"/>
      <c r="AM59" s="61"/>
    </row>
    <row r="60" spans="2:40" x14ac:dyDescent="0.25">
      <c r="B60" s="90"/>
      <c r="C60" s="85"/>
      <c r="D60" s="985"/>
      <c r="E60" s="986"/>
      <c r="F60" s="986"/>
      <c r="G60" s="986"/>
      <c r="H60" s="986"/>
      <c r="I60" s="986"/>
      <c r="J60" s="986"/>
      <c r="K60" s="986"/>
      <c r="L60" s="986"/>
      <c r="M60" s="986"/>
      <c r="N60" s="986"/>
      <c r="O60" s="986"/>
      <c r="P60" s="986"/>
      <c r="Q60" s="986"/>
      <c r="R60" s="987"/>
      <c r="S60" s="978"/>
      <c r="T60" s="978"/>
      <c r="U60" s="978"/>
      <c r="V60" s="978"/>
      <c r="W60" s="978"/>
      <c r="X60" s="978"/>
      <c r="Y60" s="978"/>
      <c r="Z60" s="978"/>
      <c r="AA60" s="417"/>
      <c r="AB60" s="417"/>
      <c r="AC60" s="417"/>
      <c r="AD60" s="417"/>
      <c r="AE60" s="978"/>
      <c r="AF60" s="978"/>
      <c r="AG60" s="978"/>
      <c r="AH60" s="978"/>
      <c r="AI60" s="978"/>
      <c r="AJ60" s="978"/>
      <c r="AK60" s="978"/>
      <c r="AL60" s="978"/>
      <c r="AM60" s="61"/>
    </row>
    <row r="61" spans="2:40" ht="40.950000000000003" customHeight="1" x14ac:dyDescent="0.25">
      <c r="B61" s="82" t="s">
        <v>168</v>
      </c>
      <c r="C61" s="96" t="s">
        <v>169</v>
      </c>
      <c r="D61" s="985"/>
      <c r="E61" s="986"/>
      <c r="F61" s="986"/>
      <c r="G61" s="986"/>
      <c r="H61" s="986"/>
      <c r="I61" s="986"/>
      <c r="J61" s="986"/>
      <c r="K61" s="986"/>
      <c r="L61" s="986"/>
      <c r="M61" s="986"/>
      <c r="N61" s="986"/>
      <c r="O61" s="986"/>
      <c r="P61" s="986"/>
      <c r="Q61" s="986"/>
      <c r="R61" s="987"/>
      <c r="S61" s="978"/>
      <c r="T61" s="978"/>
      <c r="U61" s="978"/>
      <c r="V61" s="978"/>
      <c r="W61" s="978"/>
      <c r="X61" s="978"/>
      <c r="Y61" s="978"/>
      <c r="Z61" s="978"/>
      <c r="AA61" s="417"/>
      <c r="AB61" s="417"/>
      <c r="AC61" s="417"/>
      <c r="AD61" s="417"/>
      <c r="AE61" s="978"/>
      <c r="AF61" s="978"/>
      <c r="AG61" s="978"/>
      <c r="AH61" s="978"/>
      <c r="AI61" s="978"/>
      <c r="AJ61" s="978"/>
      <c r="AK61" s="978"/>
      <c r="AL61" s="978"/>
      <c r="AM61" s="61"/>
    </row>
    <row r="62" spans="2:40" x14ac:dyDescent="0.25">
      <c r="B62" s="90"/>
      <c r="C62" s="151" t="s">
        <v>167</v>
      </c>
      <c r="D62" s="985"/>
      <c r="E62" s="986"/>
      <c r="F62" s="986"/>
      <c r="G62" s="986"/>
      <c r="H62" s="986"/>
      <c r="I62" s="986"/>
      <c r="J62" s="986"/>
      <c r="K62" s="986"/>
      <c r="L62" s="986"/>
      <c r="M62" s="986"/>
      <c r="N62" s="986"/>
      <c r="O62" s="986"/>
      <c r="P62" s="986"/>
      <c r="Q62" s="986"/>
      <c r="R62" s="987"/>
      <c r="S62" s="978"/>
      <c r="T62" s="978"/>
      <c r="U62" s="978"/>
      <c r="V62" s="978"/>
      <c r="W62" s="978"/>
      <c r="X62" s="978"/>
      <c r="Y62" s="978"/>
      <c r="Z62" s="978"/>
      <c r="AA62" s="417"/>
      <c r="AB62" s="417"/>
      <c r="AC62" s="417"/>
      <c r="AD62" s="417"/>
      <c r="AE62" s="978"/>
      <c r="AF62" s="978"/>
      <c r="AG62" s="978"/>
      <c r="AH62" s="978"/>
      <c r="AI62" s="978"/>
      <c r="AJ62" s="978"/>
      <c r="AK62" s="978"/>
      <c r="AL62" s="978"/>
      <c r="AM62" s="61"/>
    </row>
    <row r="63" spans="2:40" x14ac:dyDescent="0.25">
      <c r="B63" s="90"/>
      <c r="C63" s="85"/>
      <c r="D63" s="985"/>
      <c r="E63" s="986"/>
      <c r="F63" s="986"/>
      <c r="G63" s="986"/>
      <c r="H63" s="986"/>
      <c r="I63" s="986"/>
      <c r="J63" s="986"/>
      <c r="K63" s="986"/>
      <c r="L63" s="986"/>
      <c r="M63" s="986"/>
      <c r="N63" s="986"/>
      <c r="O63" s="986"/>
      <c r="P63" s="986"/>
      <c r="Q63" s="986"/>
      <c r="R63" s="987"/>
      <c r="S63" s="978"/>
      <c r="T63" s="978"/>
      <c r="U63" s="978"/>
      <c r="V63" s="978"/>
      <c r="W63" s="978"/>
      <c r="X63" s="978"/>
      <c r="Y63" s="978"/>
      <c r="Z63" s="978"/>
      <c r="AA63" s="417"/>
      <c r="AB63" s="417"/>
      <c r="AC63" s="417"/>
      <c r="AD63" s="417"/>
      <c r="AE63" s="978"/>
      <c r="AF63" s="978"/>
      <c r="AG63" s="978"/>
      <c r="AH63" s="978"/>
      <c r="AI63" s="978"/>
      <c r="AJ63" s="978"/>
      <c r="AK63" s="978"/>
      <c r="AL63" s="978"/>
      <c r="AM63" s="61"/>
    </row>
    <row r="64" spans="2:40" x14ac:dyDescent="0.25">
      <c r="B64" s="82" t="s">
        <v>170</v>
      </c>
      <c r="C64" s="94" t="s">
        <v>171</v>
      </c>
      <c r="D64" s="985"/>
      <c r="E64" s="986"/>
      <c r="F64" s="986"/>
      <c r="G64" s="986"/>
      <c r="H64" s="986"/>
      <c r="I64" s="986"/>
      <c r="J64" s="986"/>
      <c r="K64" s="986"/>
      <c r="L64" s="986"/>
      <c r="M64" s="986"/>
      <c r="N64" s="986"/>
      <c r="O64" s="986"/>
      <c r="P64" s="986"/>
      <c r="Q64" s="986"/>
      <c r="R64" s="987"/>
      <c r="S64" s="978"/>
      <c r="T64" s="978"/>
      <c r="U64" s="978"/>
      <c r="V64" s="978"/>
      <c r="W64" s="978"/>
      <c r="X64" s="978"/>
      <c r="Y64" s="978"/>
      <c r="Z64" s="978"/>
      <c r="AA64" s="417"/>
      <c r="AB64" s="417"/>
      <c r="AC64" s="417"/>
      <c r="AD64" s="417"/>
      <c r="AE64" s="978"/>
      <c r="AF64" s="978"/>
      <c r="AG64" s="978"/>
      <c r="AH64" s="978"/>
      <c r="AI64" s="978"/>
      <c r="AJ64" s="978"/>
      <c r="AK64" s="978"/>
      <c r="AL64" s="978"/>
      <c r="AM64" s="61"/>
    </row>
    <row r="65" spans="2:39" x14ac:dyDescent="0.25">
      <c r="B65" s="90"/>
      <c r="C65" s="151" t="s">
        <v>167</v>
      </c>
      <c r="D65" s="985"/>
      <c r="E65" s="986"/>
      <c r="F65" s="986"/>
      <c r="G65" s="986"/>
      <c r="H65" s="986"/>
      <c r="I65" s="986"/>
      <c r="J65" s="986"/>
      <c r="K65" s="986"/>
      <c r="L65" s="986"/>
      <c r="M65" s="986"/>
      <c r="N65" s="986"/>
      <c r="O65" s="986"/>
      <c r="P65" s="986"/>
      <c r="Q65" s="986"/>
      <c r="R65" s="987"/>
      <c r="S65" s="978"/>
      <c r="T65" s="978"/>
      <c r="U65" s="978"/>
      <c r="V65" s="978"/>
      <c r="W65" s="978"/>
      <c r="X65" s="978"/>
      <c r="Y65" s="978"/>
      <c r="Z65" s="978"/>
      <c r="AA65" s="417"/>
      <c r="AB65" s="417"/>
      <c r="AC65" s="417"/>
      <c r="AD65" s="417"/>
      <c r="AE65" s="978"/>
      <c r="AF65" s="978"/>
      <c r="AG65" s="978"/>
      <c r="AH65" s="978"/>
      <c r="AI65" s="978"/>
      <c r="AJ65" s="978"/>
      <c r="AK65" s="978"/>
      <c r="AL65" s="978"/>
      <c r="AM65" s="61"/>
    </row>
    <row r="66" spans="2:39" x14ac:dyDescent="0.25">
      <c r="B66" s="86" t="s">
        <v>172</v>
      </c>
      <c r="C66" s="87" t="s">
        <v>154</v>
      </c>
      <c r="D66" s="988"/>
      <c r="E66" s="989"/>
      <c r="F66" s="989"/>
      <c r="G66" s="989"/>
      <c r="H66" s="989"/>
      <c r="I66" s="989"/>
      <c r="J66" s="989"/>
      <c r="K66" s="989"/>
      <c r="L66" s="989"/>
      <c r="M66" s="989"/>
      <c r="N66" s="989"/>
      <c r="O66" s="989"/>
      <c r="P66" s="989"/>
      <c r="Q66" s="989"/>
      <c r="R66" s="990"/>
      <c r="S66" s="977"/>
      <c r="T66" s="977"/>
      <c r="U66" s="977"/>
      <c r="V66" s="977"/>
      <c r="W66" s="977"/>
      <c r="X66" s="977"/>
      <c r="Y66" s="977"/>
      <c r="Z66" s="977"/>
      <c r="AA66" s="126"/>
      <c r="AB66" s="126"/>
      <c r="AC66" s="126"/>
      <c r="AD66" s="126"/>
      <c r="AE66" s="977"/>
      <c r="AF66" s="977"/>
      <c r="AG66" s="977"/>
      <c r="AH66" s="977"/>
      <c r="AI66" s="977"/>
      <c r="AJ66" s="977"/>
      <c r="AK66" s="977"/>
      <c r="AL66" s="977"/>
      <c r="AM66" s="66"/>
    </row>
    <row r="67" spans="2:39" ht="14.4" thickBot="1" x14ac:dyDescent="0.3">
      <c r="B67" s="91" t="s">
        <v>173</v>
      </c>
      <c r="C67" s="92" t="s">
        <v>174</v>
      </c>
      <c r="D67" s="518">
        <f>+D30+D51</f>
        <v>4.8746</v>
      </c>
      <c r="E67" s="969">
        <f>+E51+E30</f>
        <v>4.8746</v>
      </c>
      <c r="F67" s="970"/>
      <c r="G67" s="970"/>
      <c r="H67" s="970"/>
      <c r="I67" s="518">
        <f>+I30+I51</f>
        <v>5.0686</v>
      </c>
      <c r="J67" s="969">
        <f>+J51+J30</f>
        <v>5.0686</v>
      </c>
      <c r="K67" s="970"/>
      <c r="L67" s="970"/>
      <c r="M67" s="970"/>
      <c r="N67" s="518">
        <f>+N30+N51</f>
        <v>5.2674000000000003</v>
      </c>
      <c r="O67" s="969">
        <f>+O51+O30</f>
        <v>5.2674000000000003</v>
      </c>
      <c r="P67" s="970"/>
      <c r="Q67" s="970"/>
      <c r="R67" s="970"/>
      <c r="S67" s="969">
        <f>+S51+S30</f>
        <v>5.6151999999999997</v>
      </c>
      <c r="T67" s="970"/>
      <c r="U67" s="970"/>
      <c r="V67" s="970"/>
      <c r="W67" s="969">
        <f>+W51+W30</f>
        <v>5.8536000000000001</v>
      </c>
      <c r="X67" s="970"/>
      <c r="Y67" s="970"/>
      <c r="Z67" s="970"/>
      <c r="AA67" s="969">
        <f>+AA51+AA30</f>
        <v>6.1322000000000001</v>
      </c>
      <c r="AB67" s="970"/>
      <c r="AC67" s="970"/>
      <c r="AD67" s="970"/>
      <c r="AE67" s="969">
        <f>+AE51+AE30</f>
        <v>6.3861999999999997</v>
      </c>
      <c r="AF67" s="970"/>
      <c r="AG67" s="970"/>
      <c r="AH67" s="970"/>
      <c r="AI67" s="969">
        <f>+AI51+AI30</f>
        <v>6.6815999999999995</v>
      </c>
      <c r="AJ67" s="970"/>
      <c r="AK67" s="970"/>
      <c r="AL67" s="970"/>
      <c r="AM67" s="67"/>
    </row>
    <row r="68" spans="2:39" x14ac:dyDescent="0.25">
      <c r="B68" s="41"/>
      <c r="C68" s="42"/>
      <c r="D68" s="42"/>
      <c r="E68" s="42"/>
      <c r="F68" s="42"/>
      <c r="G68" s="42"/>
      <c r="H68" s="42"/>
    </row>
    <row r="69" spans="2:39" x14ac:dyDescent="0.25">
      <c r="B69" s="19" t="s">
        <v>124</v>
      </c>
    </row>
    <row r="70" spans="2:39" x14ac:dyDescent="0.25">
      <c r="B70" s="19"/>
    </row>
    <row r="71" spans="2:39" ht="34.950000000000003" customHeight="1" x14ac:dyDescent="0.25">
      <c r="B71" s="1015" t="s">
        <v>175</v>
      </c>
      <c r="C71" s="1015"/>
      <c r="D71" s="1015"/>
      <c r="E71" s="1015"/>
      <c r="F71" s="1015"/>
      <c r="G71" s="1015"/>
      <c r="H71" s="1015"/>
      <c r="I71" s="1015"/>
      <c r="J71" s="1015"/>
      <c r="K71" s="1015"/>
      <c r="L71" s="1015"/>
      <c r="M71" s="1015"/>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row>
    <row r="72" spans="2:39" x14ac:dyDescent="0.25">
      <c r="B72" s="150"/>
      <c r="C72" s="150"/>
      <c r="D72" s="150"/>
      <c r="E72" s="150"/>
      <c r="F72" s="150"/>
      <c r="G72" s="150"/>
      <c r="H72" s="150"/>
      <c r="I72" s="150"/>
      <c r="J72" s="150"/>
      <c r="K72" s="150"/>
      <c r="L72" s="150"/>
      <c r="M72" s="150"/>
      <c r="N72" s="150"/>
      <c r="O72" s="150"/>
      <c r="P72" s="150"/>
      <c r="Q72" s="150"/>
      <c r="R72" s="150"/>
      <c r="S72" s="150"/>
      <c r="T72" s="150"/>
      <c r="U72" s="150"/>
      <c r="V72" s="150"/>
      <c r="W72" s="150"/>
      <c r="X72" s="150"/>
      <c r="Y72" s="150"/>
      <c r="Z72" s="150"/>
      <c r="AA72" s="150"/>
      <c r="AB72" s="150"/>
      <c r="AC72" s="150"/>
      <c r="AD72" s="150"/>
      <c r="AE72" s="150"/>
      <c r="AF72" s="150"/>
      <c r="AG72" s="150"/>
      <c r="AH72" s="150"/>
      <c r="AI72" s="150"/>
      <c r="AJ72" s="150"/>
      <c r="AK72" s="150"/>
      <c r="AL72" s="150"/>
      <c r="AM72" s="150"/>
    </row>
    <row r="73" spans="2:39" x14ac:dyDescent="0.25">
      <c r="B73" s="150"/>
      <c r="C73" s="150"/>
      <c r="D73" s="150"/>
      <c r="E73" s="150"/>
      <c r="F73" s="150"/>
      <c r="G73" s="150"/>
      <c r="H73" s="150"/>
      <c r="I73" s="150"/>
      <c r="J73" s="150"/>
      <c r="K73" s="150"/>
      <c r="L73" s="150"/>
      <c r="M73" s="150"/>
      <c r="N73" s="150"/>
      <c r="O73" s="150"/>
      <c r="P73" s="150"/>
      <c r="Q73" s="150"/>
      <c r="R73" s="150"/>
      <c r="S73" s="150"/>
      <c r="T73" s="150"/>
      <c r="U73" s="150"/>
      <c r="V73" s="150"/>
      <c r="W73" s="150"/>
      <c r="X73" s="150"/>
      <c r="Y73" s="150"/>
      <c r="Z73" s="150"/>
      <c r="AA73" s="150"/>
      <c r="AB73" s="150"/>
      <c r="AC73" s="150"/>
      <c r="AD73" s="150"/>
      <c r="AE73" s="150"/>
      <c r="AF73" s="150"/>
      <c r="AG73" s="150"/>
      <c r="AH73" s="150"/>
      <c r="AI73" s="150"/>
      <c r="AJ73" s="150"/>
      <c r="AK73" s="150"/>
      <c r="AL73" s="150"/>
      <c r="AM73" s="150"/>
    </row>
    <row r="74" spans="2:39" x14ac:dyDescent="0.25">
      <c r="B74" s="150"/>
      <c r="C74" s="150"/>
      <c r="D74" s="150"/>
      <c r="E74" s="150"/>
      <c r="F74" s="150"/>
      <c r="G74" s="150"/>
      <c r="H74" s="150"/>
      <c r="I74" s="150"/>
      <c r="J74" s="150"/>
      <c r="K74" s="150"/>
      <c r="L74" s="150"/>
      <c r="M74" s="150"/>
      <c r="N74" s="150"/>
      <c r="O74" s="150"/>
      <c r="P74" s="150"/>
      <c r="Q74" s="150"/>
      <c r="R74" s="150"/>
      <c r="S74" s="150"/>
      <c r="T74" s="150"/>
      <c r="U74" s="150"/>
      <c r="V74" s="150"/>
      <c r="W74" s="150"/>
      <c r="X74" s="150"/>
      <c r="Y74" s="150"/>
      <c r="Z74" s="150"/>
      <c r="AA74" s="150"/>
      <c r="AB74" s="150"/>
      <c r="AC74" s="150"/>
      <c r="AD74" s="150"/>
      <c r="AE74" s="150"/>
      <c r="AF74" s="150"/>
      <c r="AG74" s="150"/>
      <c r="AH74" s="150"/>
      <c r="AI74" s="150"/>
      <c r="AJ74" s="150"/>
      <c r="AK74" s="150"/>
      <c r="AL74" s="150"/>
      <c r="AM74" s="150"/>
    </row>
    <row r="75" spans="2:39" x14ac:dyDescent="0.25">
      <c r="B75" s="150"/>
      <c r="C75" s="150"/>
      <c r="D75" s="150"/>
      <c r="E75" s="150"/>
      <c r="F75" s="150"/>
      <c r="G75" s="150"/>
      <c r="H75" s="150"/>
      <c r="I75" s="150"/>
      <c r="J75" s="150"/>
      <c r="K75" s="150"/>
      <c r="L75" s="150"/>
      <c r="M75" s="150"/>
      <c r="N75" s="150"/>
      <c r="O75" s="150"/>
      <c r="P75" s="150"/>
      <c r="Q75" s="150"/>
      <c r="R75" s="150"/>
      <c r="S75" s="150"/>
      <c r="T75" s="150"/>
      <c r="U75" s="150"/>
      <c r="V75" s="150"/>
      <c r="W75" s="150"/>
      <c r="X75" s="150"/>
      <c r="Y75" s="150"/>
      <c r="Z75" s="150"/>
      <c r="AA75" s="150"/>
      <c r="AB75" s="150"/>
      <c r="AC75" s="150"/>
      <c r="AD75" s="150"/>
      <c r="AE75" s="150"/>
      <c r="AF75" s="150"/>
      <c r="AG75" s="150"/>
      <c r="AH75" s="150"/>
      <c r="AI75" s="150"/>
      <c r="AJ75" s="150"/>
      <c r="AK75" s="150"/>
      <c r="AL75" s="150"/>
      <c r="AM75" s="150"/>
    </row>
    <row r="76" spans="2:39" x14ac:dyDescent="0.25">
      <c r="B76" s="150"/>
      <c r="C76" s="150"/>
      <c r="D76" s="150"/>
      <c r="E76" s="150"/>
      <c r="F76" s="150"/>
      <c r="G76" s="150"/>
      <c r="H76" s="150"/>
      <c r="I76" s="150"/>
      <c r="J76" s="150"/>
      <c r="K76" s="150"/>
      <c r="L76" s="150"/>
      <c r="M76" s="150"/>
      <c r="N76" s="150"/>
      <c r="O76" s="150"/>
      <c r="P76" s="150"/>
      <c r="Q76" s="150"/>
      <c r="R76" s="150"/>
      <c r="S76" s="150"/>
      <c r="T76" s="150"/>
      <c r="U76" s="150"/>
      <c r="V76" s="150"/>
      <c r="W76" s="150"/>
      <c r="X76" s="150"/>
      <c r="Y76" s="150"/>
      <c r="Z76" s="150"/>
      <c r="AA76" s="150"/>
      <c r="AB76" s="150"/>
      <c r="AC76" s="150"/>
      <c r="AD76" s="150"/>
      <c r="AE76" s="150"/>
      <c r="AF76" s="150"/>
      <c r="AG76" s="150"/>
      <c r="AH76" s="150"/>
      <c r="AI76" s="150"/>
      <c r="AJ76" s="150"/>
      <c r="AK76" s="150"/>
      <c r="AL76" s="150"/>
      <c r="AM76" s="150"/>
    </row>
    <row r="77" spans="2:39" x14ac:dyDescent="0.25">
      <c r="B77" s="150"/>
      <c r="C77" s="150"/>
      <c r="D77" s="150"/>
      <c r="E77" s="150"/>
      <c r="F77" s="150"/>
      <c r="G77" s="150"/>
      <c r="H77" s="150"/>
      <c r="I77" s="150"/>
      <c r="J77" s="150"/>
      <c r="K77" s="150"/>
      <c r="L77" s="150"/>
      <c r="M77" s="150"/>
      <c r="N77" s="150"/>
      <c r="O77" s="150"/>
      <c r="P77" s="150"/>
      <c r="Q77" s="150"/>
      <c r="R77" s="150"/>
      <c r="S77" s="150"/>
      <c r="T77" s="150"/>
      <c r="U77" s="150"/>
      <c r="V77" s="150"/>
      <c r="W77" s="150"/>
      <c r="X77" s="150"/>
      <c r="Y77" s="150"/>
      <c r="Z77" s="150"/>
      <c r="AA77" s="150"/>
      <c r="AB77" s="150"/>
      <c r="AC77" s="150"/>
      <c r="AD77" s="150"/>
      <c r="AE77" s="150"/>
      <c r="AF77" s="150"/>
      <c r="AG77" s="150"/>
      <c r="AH77" s="150"/>
      <c r="AI77" s="150"/>
      <c r="AJ77" s="150"/>
      <c r="AK77" s="150"/>
      <c r="AL77" s="150"/>
      <c r="AM77" s="150"/>
    </row>
    <row r="83" spans="17:17" x14ac:dyDescent="0.25">
      <c r="Q83" s="37"/>
    </row>
  </sheetData>
  <mergeCells count="260">
    <mergeCell ref="AA23:AD23"/>
    <mergeCell ref="AA30:AD30"/>
    <mergeCell ref="AA45:AD45"/>
    <mergeCell ref="AA51:AD51"/>
    <mergeCell ref="E67:H67"/>
    <mergeCell ref="AA67:AD67"/>
    <mergeCell ref="B71:M71"/>
    <mergeCell ref="S66:V66"/>
    <mergeCell ref="W66:Z66"/>
    <mergeCell ref="W53:Z53"/>
    <mergeCell ref="S42:V42"/>
    <mergeCell ref="W42:Z42"/>
    <mergeCell ref="S48:V48"/>
    <mergeCell ref="W48:Z48"/>
    <mergeCell ref="O24:R24"/>
    <mergeCell ref="O25:R25"/>
    <mergeCell ref="O26:R26"/>
    <mergeCell ref="O27:R27"/>
    <mergeCell ref="O28:R28"/>
    <mergeCell ref="O29:R29"/>
    <mergeCell ref="O53:R53"/>
    <mergeCell ref="O54:R54"/>
    <mergeCell ref="O67:R67"/>
    <mergeCell ref="O30:R30"/>
    <mergeCell ref="W49:Z49"/>
    <mergeCell ref="S49:V49"/>
    <mergeCell ref="AE49:AH49"/>
    <mergeCell ref="AE66:AH66"/>
    <mergeCell ref="AI66:AL66"/>
    <mergeCell ref="S65:V65"/>
    <mergeCell ref="W65:Z65"/>
    <mergeCell ref="AE65:AH65"/>
    <mergeCell ref="AI65:AL65"/>
    <mergeCell ref="S63:V63"/>
    <mergeCell ref="W63:Z63"/>
    <mergeCell ref="AE63:AH63"/>
    <mergeCell ref="AI63:AL63"/>
    <mergeCell ref="S64:V64"/>
    <mergeCell ref="W64:Z64"/>
    <mergeCell ref="AE64:AH64"/>
    <mergeCell ref="AI64:AL64"/>
    <mergeCell ref="S62:V62"/>
    <mergeCell ref="W62:Z62"/>
    <mergeCell ref="AE62:AH62"/>
    <mergeCell ref="AI62:AL62"/>
    <mergeCell ref="S60:V60"/>
    <mergeCell ref="W60:Z60"/>
    <mergeCell ref="W52:Z52"/>
    <mergeCell ref="AE60:AH60"/>
    <mergeCell ref="AI60:AL60"/>
    <mergeCell ref="S61:V61"/>
    <mergeCell ref="W61:Z61"/>
    <mergeCell ref="AE61:AH61"/>
    <mergeCell ref="AI61:AL61"/>
    <mergeCell ref="S54:V54"/>
    <mergeCell ref="W54:Z54"/>
    <mergeCell ref="AE54:AH54"/>
    <mergeCell ref="AI54:AL54"/>
    <mergeCell ref="AI48:AL48"/>
    <mergeCell ref="S43:V43"/>
    <mergeCell ref="S67:V67"/>
    <mergeCell ref="W67:Z67"/>
    <mergeCell ref="AE67:AH67"/>
    <mergeCell ref="AI67:AL67"/>
    <mergeCell ref="AI46:AL46"/>
    <mergeCell ref="AI47:AL47"/>
    <mergeCell ref="AE47:AH47"/>
    <mergeCell ref="AE51:AH51"/>
    <mergeCell ref="AE52:AH52"/>
    <mergeCell ref="AE53:AH53"/>
    <mergeCell ref="W50:Z50"/>
    <mergeCell ref="S50:V50"/>
    <mergeCell ref="AE50:AH50"/>
    <mergeCell ref="AI51:AL51"/>
    <mergeCell ref="AI52:AL52"/>
    <mergeCell ref="AI53:AL53"/>
    <mergeCell ref="S51:V51"/>
    <mergeCell ref="S52:V52"/>
    <mergeCell ref="S53:V53"/>
    <mergeCell ref="AI49:AL49"/>
    <mergeCell ref="AI50:AL50"/>
    <mergeCell ref="W51:Z51"/>
    <mergeCell ref="S24:V24"/>
    <mergeCell ref="AE43:AH43"/>
    <mergeCell ref="AE44:AH44"/>
    <mergeCell ref="AE45:AH45"/>
    <mergeCell ref="AE46:AH46"/>
    <mergeCell ref="S44:V44"/>
    <mergeCell ref="S45:V45"/>
    <mergeCell ref="S46:V46"/>
    <mergeCell ref="S47:V47"/>
    <mergeCell ref="S25:V25"/>
    <mergeCell ref="AE48:AH48"/>
    <mergeCell ref="W21:Z21"/>
    <mergeCell ref="W22:Z22"/>
    <mergeCell ref="W23:Z23"/>
    <mergeCell ref="W24:Z24"/>
    <mergeCell ref="W25:Z25"/>
    <mergeCell ref="AI21:AL21"/>
    <mergeCell ref="AI22:AL22"/>
    <mergeCell ref="AI23:AL23"/>
    <mergeCell ref="AE30:AH30"/>
    <mergeCell ref="AE31:AH31"/>
    <mergeCell ref="AE32:AH32"/>
    <mergeCell ref="AI27:AL27"/>
    <mergeCell ref="AI28:AL28"/>
    <mergeCell ref="AE28:AH28"/>
    <mergeCell ref="AE42:AH42"/>
    <mergeCell ref="W43:Z43"/>
    <mergeCell ref="W44:Z44"/>
    <mergeCell ref="W45:Z45"/>
    <mergeCell ref="W46:Z46"/>
    <mergeCell ref="W47:Z47"/>
    <mergeCell ref="AI43:AL43"/>
    <mergeCell ref="AI44:AL44"/>
    <mergeCell ref="AI45:AL45"/>
    <mergeCell ref="S22:V22"/>
    <mergeCell ref="S23:V23"/>
    <mergeCell ref="AE21:AH21"/>
    <mergeCell ref="AE22:AH22"/>
    <mergeCell ref="AE23:AH23"/>
    <mergeCell ref="AE24:AH24"/>
    <mergeCell ref="S21:V21"/>
    <mergeCell ref="AI42:AL42"/>
    <mergeCell ref="S26:V26"/>
    <mergeCell ref="W26:Z26"/>
    <mergeCell ref="AE26:AH26"/>
    <mergeCell ref="AI26:AL26"/>
    <mergeCell ref="AI24:AL24"/>
    <mergeCell ref="AI25:AL25"/>
    <mergeCell ref="S33:V33"/>
    <mergeCell ref="W33:Z33"/>
    <mergeCell ref="AE33:AH33"/>
    <mergeCell ref="AI33:AL33"/>
    <mergeCell ref="AI29:AL29"/>
    <mergeCell ref="AI30:AL30"/>
    <mergeCell ref="AI31:AL31"/>
    <mergeCell ref="AI32:AL32"/>
    <mergeCell ref="AE25:AH25"/>
    <mergeCell ref="AE29:AH29"/>
    <mergeCell ref="AN9:AN10"/>
    <mergeCell ref="AN31:AN32"/>
    <mergeCell ref="W19:Z19"/>
    <mergeCell ref="W20:Z20"/>
    <mergeCell ref="AE19:AH19"/>
    <mergeCell ref="AE20:AH20"/>
    <mergeCell ref="AI19:AL19"/>
    <mergeCell ref="AI20:AL20"/>
    <mergeCell ref="S9:V9"/>
    <mergeCell ref="S30:V30"/>
    <mergeCell ref="S31:V31"/>
    <mergeCell ref="S32:V32"/>
    <mergeCell ref="W30:Z30"/>
    <mergeCell ref="W31:Z31"/>
    <mergeCell ref="W32:Z32"/>
    <mergeCell ref="S28:V28"/>
    <mergeCell ref="S27:V27"/>
    <mergeCell ref="S29:V29"/>
    <mergeCell ref="W27:Z27"/>
    <mergeCell ref="W28:Z28"/>
    <mergeCell ref="W29:Z29"/>
    <mergeCell ref="AE27:AH27"/>
    <mergeCell ref="S20:V20"/>
    <mergeCell ref="S19:V19"/>
    <mergeCell ref="B3:AM3"/>
    <mergeCell ref="B4:AM4"/>
    <mergeCell ref="B5:AM5"/>
    <mergeCell ref="B8:B10"/>
    <mergeCell ref="C8:C10"/>
    <mergeCell ref="AM8:AM10"/>
    <mergeCell ref="W9:Z9"/>
    <mergeCell ref="AE9:AH9"/>
    <mergeCell ref="AI9:AL9"/>
    <mergeCell ref="O9:R9"/>
    <mergeCell ref="J9:M9"/>
    <mergeCell ref="S8:V8"/>
    <mergeCell ref="W8:Z8"/>
    <mergeCell ref="AE8:AH8"/>
    <mergeCell ref="AI8:AL8"/>
    <mergeCell ref="AA8:AD8"/>
    <mergeCell ref="AA9:AD9"/>
    <mergeCell ref="D8:H8"/>
    <mergeCell ref="I8:M8"/>
    <mergeCell ref="N8:R8"/>
    <mergeCell ref="E9:H9"/>
    <mergeCell ref="O19:R19"/>
    <mergeCell ref="O20:R20"/>
    <mergeCell ref="J19:M19"/>
    <mergeCell ref="J20:M20"/>
    <mergeCell ref="O21:R21"/>
    <mergeCell ref="O22:R22"/>
    <mergeCell ref="O23:R23"/>
    <mergeCell ref="J25:M25"/>
    <mergeCell ref="J26:M26"/>
    <mergeCell ref="J21:M21"/>
    <mergeCell ref="J22:M22"/>
    <mergeCell ref="J23:M23"/>
    <mergeCell ref="J28:M28"/>
    <mergeCell ref="J29:M29"/>
    <mergeCell ref="J24:M24"/>
    <mergeCell ref="O48:R48"/>
    <mergeCell ref="O49:R49"/>
    <mergeCell ref="O50:R50"/>
    <mergeCell ref="O51:R51"/>
    <mergeCell ref="E52:H52"/>
    <mergeCell ref="O52:R52"/>
    <mergeCell ref="J27:M27"/>
    <mergeCell ref="O31:R31"/>
    <mergeCell ref="O32:R32"/>
    <mergeCell ref="O33:R33"/>
    <mergeCell ref="O42:R42"/>
    <mergeCell ref="O43:R43"/>
    <mergeCell ref="O44:R44"/>
    <mergeCell ref="O45:R45"/>
    <mergeCell ref="O46:R46"/>
    <mergeCell ref="O47:R47"/>
    <mergeCell ref="E53:H53"/>
    <mergeCell ref="E19:H19"/>
    <mergeCell ref="E20:H20"/>
    <mergeCell ref="E21:H21"/>
    <mergeCell ref="E22:H22"/>
    <mergeCell ref="E23:H23"/>
    <mergeCell ref="E24:H24"/>
    <mergeCell ref="E25:H25"/>
    <mergeCell ref="E26:H26"/>
    <mergeCell ref="E27:H27"/>
    <mergeCell ref="E28:H28"/>
    <mergeCell ref="E29:H29"/>
    <mergeCell ref="E30:H30"/>
    <mergeCell ref="E31:H31"/>
    <mergeCell ref="E50:H50"/>
    <mergeCell ref="E46:H46"/>
    <mergeCell ref="E47:H47"/>
    <mergeCell ref="E48:H48"/>
    <mergeCell ref="E49:H49"/>
    <mergeCell ref="E51:H51"/>
    <mergeCell ref="J67:M67"/>
    <mergeCell ref="J30:M30"/>
    <mergeCell ref="J31:M31"/>
    <mergeCell ref="J32:M32"/>
    <mergeCell ref="J33:M33"/>
    <mergeCell ref="J42:M42"/>
    <mergeCell ref="J43:M43"/>
    <mergeCell ref="J44:M44"/>
    <mergeCell ref="J45:M45"/>
    <mergeCell ref="J46:M46"/>
    <mergeCell ref="J47:M47"/>
    <mergeCell ref="J48:M48"/>
    <mergeCell ref="J49:M49"/>
    <mergeCell ref="J50:M50"/>
    <mergeCell ref="J51:M51"/>
    <mergeCell ref="J52:M52"/>
    <mergeCell ref="J53:M53"/>
    <mergeCell ref="J54:M54"/>
    <mergeCell ref="D55:R66"/>
    <mergeCell ref="E32:H32"/>
    <mergeCell ref="E42:H42"/>
    <mergeCell ref="E43:H43"/>
    <mergeCell ref="E44:H44"/>
    <mergeCell ref="E45:H45"/>
  </mergeCells>
  <pageMargins left="0.19685039370078741" right="0.23622047244094491" top="0.22" bottom="0.25" header="0.23622047244094491" footer="0.23622047244094491"/>
  <pageSetup paperSize="9" scale="56" fitToWidth="3" fitToHeight="3" orientation="landscape" r:id="rId1"/>
  <headerFooter alignWithMargins="0"/>
  <colBreaks count="2" manualBreakCount="2">
    <brk id="13" max="70" man="1"/>
    <brk id="26" max="70"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N36"/>
  <sheetViews>
    <sheetView showGridLines="0" view="pageBreakPreview" zoomScale="60" zoomScaleNormal="80" workbookViewId="0">
      <selection activeCell="B4" sqref="B4:N4"/>
    </sheetView>
  </sheetViews>
  <sheetFormatPr defaultColWidth="9.33203125" defaultRowHeight="13.8" x14ac:dyDescent="0.25"/>
  <cols>
    <col min="1" max="1" width="6.6640625" style="19" customWidth="1"/>
    <col min="2" max="2" width="7" style="19" customWidth="1"/>
    <col min="3" max="3" width="51.44140625" style="19" customWidth="1"/>
    <col min="4" max="4" width="17.5546875" style="19" customWidth="1"/>
    <col min="5" max="5" width="19.6640625" style="19" bestFit="1" customWidth="1"/>
    <col min="6" max="6" width="13.44140625" style="19" customWidth="1"/>
    <col min="7" max="14" width="18.6640625" style="19" customWidth="1"/>
    <col min="15" max="16384" width="9.33203125" style="19"/>
  </cols>
  <sheetData>
    <row r="2" spans="2:14" ht="18.600000000000001" customHeight="1" x14ac:dyDescent="0.25">
      <c r="B2" s="1013" t="str">
        <f>Index!$B$2</f>
        <v>JAIGAD POWER TRANSCO LIMITED (JPTL)</v>
      </c>
      <c r="C2" s="1016"/>
      <c r="D2" s="1016"/>
      <c r="E2" s="1016"/>
      <c r="F2" s="1016"/>
      <c r="G2" s="1016"/>
      <c r="H2" s="1016"/>
      <c r="I2" s="1016"/>
      <c r="J2" s="1016"/>
      <c r="K2" s="1016"/>
      <c r="L2" s="1016"/>
      <c r="M2" s="1016"/>
      <c r="N2" s="1016"/>
    </row>
    <row r="3" spans="2:14" s="21" customFormat="1" ht="18.600000000000001" customHeight="1" x14ac:dyDescent="0.25">
      <c r="B3" s="1017" t="s">
        <v>0</v>
      </c>
      <c r="C3" s="1016"/>
      <c r="D3" s="1016"/>
      <c r="E3" s="1016"/>
      <c r="F3" s="1016"/>
      <c r="G3" s="1016"/>
      <c r="H3" s="1016"/>
      <c r="I3" s="1016"/>
      <c r="J3" s="1016"/>
      <c r="K3" s="1016"/>
      <c r="L3" s="1016"/>
      <c r="M3" s="1016"/>
      <c r="N3" s="1016"/>
    </row>
    <row r="4" spans="2:14" s="21" customFormat="1" ht="18.600000000000001" customHeight="1" x14ac:dyDescent="0.25">
      <c r="B4" s="1017" t="s">
        <v>176</v>
      </c>
      <c r="C4" s="1018"/>
      <c r="D4" s="1018"/>
      <c r="E4" s="1018"/>
      <c r="F4" s="1018"/>
      <c r="G4" s="1018"/>
      <c r="H4" s="1018"/>
      <c r="I4" s="1018"/>
      <c r="J4" s="1018"/>
      <c r="K4" s="1018"/>
      <c r="L4" s="1018"/>
      <c r="M4" s="1018"/>
      <c r="N4" s="1018"/>
    </row>
    <row r="7" spans="2:14" x14ac:dyDescent="0.25">
      <c r="B7" s="941" t="s">
        <v>1</v>
      </c>
      <c r="C7" s="941" t="s">
        <v>74</v>
      </c>
      <c r="D7" s="74" t="s">
        <v>134</v>
      </c>
      <c r="E7" s="74" t="s">
        <v>134</v>
      </c>
      <c r="F7" s="941" t="s">
        <v>177</v>
      </c>
      <c r="G7" s="941"/>
      <c r="H7" s="941"/>
      <c r="I7" s="1019" t="s">
        <v>103</v>
      </c>
      <c r="J7" s="1019"/>
      <c r="K7" s="1019"/>
      <c r="L7" s="1019"/>
      <c r="M7" s="1019"/>
      <c r="N7" s="941" t="s">
        <v>79</v>
      </c>
    </row>
    <row r="8" spans="2:14" x14ac:dyDescent="0.25">
      <c r="B8" s="941"/>
      <c r="C8" s="941"/>
      <c r="D8" s="74" t="s">
        <v>75</v>
      </c>
      <c r="E8" s="74" t="s">
        <v>76</v>
      </c>
      <c r="F8" s="74" t="s">
        <v>178</v>
      </c>
      <c r="G8" s="74" t="s">
        <v>179</v>
      </c>
      <c r="H8" s="74" t="s">
        <v>180</v>
      </c>
      <c r="I8" s="418" t="s">
        <v>87</v>
      </c>
      <c r="J8" s="418" t="s">
        <v>88</v>
      </c>
      <c r="K8" s="418" t="s">
        <v>89</v>
      </c>
      <c r="L8" s="418" t="s">
        <v>90</v>
      </c>
      <c r="M8" s="418" t="s">
        <v>91</v>
      </c>
      <c r="N8" s="941"/>
    </row>
    <row r="9" spans="2:14" x14ac:dyDescent="0.25">
      <c r="B9" s="46"/>
      <c r="C9" s="26"/>
      <c r="D9" s="26"/>
      <c r="E9" s="26"/>
      <c r="F9" s="26"/>
      <c r="G9" s="26"/>
      <c r="H9" s="26"/>
      <c r="I9" s="26"/>
      <c r="J9" s="26"/>
      <c r="K9" s="26"/>
      <c r="L9" s="26"/>
      <c r="M9" s="26"/>
      <c r="N9" s="26"/>
    </row>
    <row r="10" spans="2:14" x14ac:dyDescent="0.25">
      <c r="B10" s="97">
        <v>1</v>
      </c>
      <c r="C10" s="47" t="s">
        <v>181</v>
      </c>
      <c r="D10" s="47"/>
      <c r="E10" s="26"/>
      <c r="F10" s="26"/>
      <c r="G10" s="26"/>
      <c r="H10" s="26"/>
      <c r="I10" s="26"/>
      <c r="J10" s="26"/>
      <c r="K10" s="26"/>
      <c r="L10" s="26"/>
      <c r="M10" s="26"/>
      <c r="N10" s="26"/>
    </row>
    <row r="11" spans="2:14" x14ac:dyDescent="0.25">
      <c r="B11" s="46">
        <v>1.1000000000000001</v>
      </c>
      <c r="C11" s="48" t="s">
        <v>143</v>
      </c>
      <c r="D11" s="48"/>
      <c r="E11" s="26"/>
      <c r="F11" s="26"/>
      <c r="G11" s="26"/>
      <c r="H11" s="26"/>
      <c r="I11" s="26"/>
      <c r="J11" s="26"/>
      <c r="K11" s="26"/>
      <c r="L11" s="26"/>
      <c r="M11" s="26"/>
      <c r="N11" s="26"/>
    </row>
    <row r="12" spans="2:14" x14ac:dyDescent="0.25">
      <c r="B12" s="46">
        <v>1.2000000000000002</v>
      </c>
      <c r="C12" s="48" t="s">
        <v>144</v>
      </c>
      <c r="D12" s="48"/>
      <c r="E12" s="26"/>
      <c r="F12" s="26"/>
      <c r="G12" s="26"/>
      <c r="H12" s="26"/>
      <c r="I12" s="26"/>
      <c r="J12" s="26"/>
      <c r="K12" s="26"/>
      <c r="L12" s="26"/>
      <c r="M12" s="26"/>
      <c r="N12" s="26"/>
    </row>
    <row r="13" spans="2:14" x14ac:dyDescent="0.25">
      <c r="B13" s="46">
        <v>1.3000000000000003</v>
      </c>
      <c r="C13" s="48" t="s">
        <v>145</v>
      </c>
      <c r="D13" s="512">
        <f>SUM(D14:D15)</f>
        <v>165</v>
      </c>
      <c r="E13" s="512">
        <f>SUM(E14:E15)</f>
        <v>165</v>
      </c>
      <c r="F13" s="512">
        <f t="shared" ref="F13:M13" si="0">SUM(F14:F15)</f>
        <v>165</v>
      </c>
      <c r="G13" s="512">
        <f t="shared" si="0"/>
        <v>165</v>
      </c>
      <c r="H13" s="512">
        <f t="shared" si="0"/>
        <v>165</v>
      </c>
      <c r="I13" s="512">
        <f t="shared" si="0"/>
        <v>165</v>
      </c>
      <c r="J13" s="512">
        <f t="shared" si="0"/>
        <v>165</v>
      </c>
      <c r="K13" s="512">
        <f t="shared" si="0"/>
        <v>165</v>
      </c>
      <c r="L13" s="512">
        <f t="shared" si="0"/>
        <v>165</v>
      </c>
      <c r="M13" s="512">
        <f t="shared" si="0"/>
        <v>165</v>
      </c>
      <c r="N13" s="26"/>
    </row>
    <row r="14" spans="2:14" x14ac:dyDescent="0.25">
      <c r="B14" s="46" t="s">
        <v>141</v>
      </c>
      <c r="C14" s="757" t="s">
        <v>872</v>
      </c>
      <c r="D14" s="511">
        <v>55</v>
      </c>
      <c r="E14" s="511">
        <v>55</v>
      </c>
      <c r="F14" s="511">
        <v>55</v>
      </c>
      <c r="G14" s="511">
        <v>55</v>
      </c>
      <c r="H14" s="511">
        <v>55</v>
      </c>
      <c r="I14" s="511">
        <v>55</v>
      </c>
      <c r="J14" s="511">
        <v>55</v>
      </c>
      <c r="K14" s="511">
        <v>55</v>
      </c>
      <c r="L14" s="511">
        <v>55</v>
      </c>
      <c r="M14" s="511">
        <v>55</v>
      </c>
      <c r="N14" s="26"/>
    </row>
    <row r="15" spans="2:14" x14ac:dyDescent="0.25">
      <c r="B15" s="46" t="s">
        <v>148</v>
      </c>
      <c r="C15" s="757" t="s">
        <v>873</v>
      </c>
      <c r="D15" s="511">
        <v>110</v>
      </c>
      <c r="E15" s="511">
        <v>110</v>
      </c>
      <c r="F15" s="511">
        <v>110</v>
      </c>
      <c r="G15" s="511">
        <v>110</v>
      </c>
      <c r="H15" s="511">
        <v>110</v>
      </c>
      <c r="I15" s="511">
        <v>110</v>
      </c>
      <c r="J15" s="511">
        <v>110</v>
      </c>
      <c r="K15" s="511">
        <v>110</v>
      </c>
      <c r="L15" s="511">
        <v>110</v>
      </c>
      <c r="M15" s="511">
        <v>110</v>
      </c>
      <c r="N15" s="26"/>
    </row>
    <row r="16" spans="2:14" x14ac:dyDescent="0.25">
      <c r="B16" s="46">
        <v>1.4000000000000004</v>
      </c>
      <c r="C16" s="48" t="s">
        <v>182</v>
      </c>
      <c r="D16" s="48"/>
      <c r="E16" s="26"/>
      <c r="F16" s="26"/>
      <c r="G16" s="26"/>
      <c r="H16" s="26"/>
      <c r="I16" s="26"/>
      <c r="J16" s="26"/>
      <c r="K16" s="26"/>
      <c r="L16" s="26"/>
      <c r="M16" s="26"/>
      <c r="N16" s="26"/>
    </row>
    <row r="17" spans="2:14" x14ac:dyDescent="0.25">
      <c r="B17" s="46">
        <v>1.5000000000000004</v>
      </c>
      <c r="C17" s="48" t="s">
        <v>183</v>
      </c>
      <c r="D17" s="48"/>
      <c r="E17" s="26"/>
      <c r="F17" s="26"/>
      <c r="G17" s="26"/>
      <c r="H17" s="26"/>
      <c r="I17" s="26"/>
      <c r="J17" s="26"/>
      <c r="K17" s="26"/>
      <c r="L17" s="26"/>
      <c r="M17" s="26"/>
      <c r="N17" s="26"/>
    </row>
    <row r="18" spans="2:14" x14ac:dyDescent="0.25">
      <c r="B18" s="97"/>
      <c r="C18" s="48"/>
      <c r="D18" s="48"/>
      <c r="E18" s="26"/>
      <c r="F18" s="26"/>
      <c r="G18" s="26"/>
      <c r="H18" s="26"/>
      <c r="I18" s="26"/>
      <c r="J18" s="26"/>
      <c r="K18" s="26"/>
      <c r="L18" s="26"/>
      <c r="M18" s="26"/>
      <c r="N18" s="26"/>
    </row>
    <row r="19" spans="2:14" x14ac:dyDescent="0.25">
      <c r="B19" s="97">
        <v>2</v>
      </c>
      <c r="C19" s="47" t="s">
        <v>184</v>
      </c>
      <c r="D19" s="47"/>
      <c r="E19" s="26"/>
      <c r="F19" s="26"/>
      <c r="G19" s="26"/>
      <c r="H19" s="26"/>
      <c r="I19" s="26"/>
      <c r="J19" s="26"/>
      <c r="K19" s="26"/>
      <c r="L19" s="26"/>
      <c r="M19" s="26"/>
      <c r="N19" s="26"/>
    </row>
    <row r="20" spans="2:14" x14ac:dyDescent="0.25">
      <c r="B20" s="46">
        <v>2.1</v>
      </c>
      <c r="C20" s="48" t="s">
        <v>143</v>
      </c>
      <c r="D20" s="48"/>
      <c r="E20" s="26"/>
      <c r="F20" s="26"/>
      <c r="G20" s="26"/>
      <c r="H20" s="26"/>
      <c r="I20" s="26"/>
      <c r="J20" s="26"/>
      <c r="K20" s="26"/>
      <c r="L20" s="26"/>
      <c r="M20" s="26"/>
      <c r="N20" s="26"/>
    </row>
    <row r="21" spans="2:14" x14ac:dyDescent="0.25">
      <c r="B21" s="46">
        <v>2.2000000000000002</v>
      </c>
      <c r="C21" s="48" t="s">
        <v>144</v>
      </c>
      <c r="D21" s="48"/>
      <c r="E21" s="758"/>
      <c r="F21" s="26"/>
      <c r="G21" s="26"/>
      <c r="H21" s="26"/>
      <c r="I21" s="26"/>
      <c r="J21" s="26"/>
      <c r="K21" s="26"/>
      <c r="L21" s="26"/>
      <c r="M21" s="26"/>
      <c r="N21" s="26"/>
    </row>
    <row r="22" spans="2:14" x14ac:dyDescent="0.25">
      <c r="B22" s="46">
        <v>2.3000000000000003</v>
      </c>
      <c r="C22" s="48" t="s">
        <v>145</v>
      </c>
      <c r="D22" s="48"/>
      <c r="E22" s="758"/>
      <c r="F22" s="26"/>
      <c r="G22" s="26"/>
      <c r="H22" s="26"/>
      <c r="I22" s="26"/>
      <c r="J22" s="26"/>
      <c r="K22" s="26"/>
      <c r="L22" s="26"/>
      <c r="M22" s="26"/>
      <c r="N22" s="26"/>
    </row>
    <row r="23" spans="2:14" x14ac:dyDescent="0.25">
      <c r="B23" s="46">
        <v>2.4000000000000004</v>
      </c>
      <c r="C23" s="48" t="s">
        <v>185</v>
      </c>
      <c r="D23" s="48"/>
      <c r="E23" s="758"/>
      <c r="F23" s="26"/>
      <c r="G23" s="26"/>
      <c r="H23" s="26"/>
      <c r="I23" s="26"/>
      <c r="J23" s="26"/>
      <c r="K23" s="26"/>
      <c r="L23" s="26"/>
      <c r="M23" s="26"/>
      <c r="N23" s="26"/>
    </row>
    <row r="24" spans="2:14" x14ac:dyDescent="0.25">
      <c r="B24" s="46">
        <v>2.5000000000000004</v>
      </c>
      <c r="C24" s="48" t="s">
        <v>186</v>
      </c>
      <c r="D24" s="48"/>
      <c r="E24" s="758"/>
      <c r="F24" s="26"/>
      <c r="G24" s="26"/>
      <c r="H24" s="26"/>
      <c r="I24" s="26"/>
      <c r="J24" s="26"/>
      <c r="K24" s="26"/>
      <c r="L24" s="26"/>
      <c r="M24" s="26"/>
      <c r="N24" s="26"/>
    </row>
    <row r="25" spans="2:14" x14ac:dyDescent="0.25">
      <c r="B25" s="46">
        <v>2.6</v>
      </c>
      <c r="C25" s="48" t="s">
        <v>183</v>
      </c>
      <c r="D25" s="48"/>
      <c r="E25" s="758"/>
      <c r="F25" s="26"/>
      <c r="G25" s="26"/>
      <c r="H25" s="26"/>
      <c r="I25" s="26"/>
      <c r="J25" s="26"/>
      <c r="K25" s="26"/>
      <c r="L25" s="26"/>
      <c r="M25" s="26"/>
      <c r="N25" s="26"/>
    </row>
    <row r="26" spans="2:14" x14ac:dyDescent="0.25">
      <c r="B26" s="97"/>
      <c r="C26" s="48"/>
      <c r="D26" s="48"/>
      <c r="E26" s="758"/>
      <c r="F26" s="26"/>
      <c r="G26" s="26"/>
      <c r="H26" s="26"/>
      <c r="I26" s="26"/>
      <c r="J26" s="26"/>
      <c r="K26" s="26"/>
      <c r="L26" s="26"/>
      <c r="M26" s="26"/>
      <c r="N26" s="26"/>
    </row>
    <row r="27" spans="2:14" x14ac:dyDescent="0.25">
      <c r="B27" s="97">
        <v>3</v>
      </c>
      <c r="C27" s="47" t="s">
        <v>187</v>
      </c>
      <c r="D27" s="47"/>
      <c r="E27" s="758"/>
      <c r="F27" s="26"/>
      <c r="G27" s="26"/>
      <c r="H27" s="26"/>
      <c r="I27" s="26"/>
      <c r="J27" s="26"/>
      <c r="K27" s="26"/>
      <c r="L27" s="26"/>
      <c r="M27" s="26"/>
      <c r="N27" s="26"/>
    </row>
    <row r="28" spans="2:14" x14ac:dyDescent="0.25">
      <c r="B28" s="46">
        <v>3.1</v>
      </c>
      <c r="C28" s="48" t="s">
        <v>144</v>
      </c>
      <c r="D28" s="48"/>
      <c r="E28" s="758"/>
      <c r="F28" s="26"/>
      <c r="G28" s="26"/>
      <c r="H28" s="26"/>
      <c r="I28" s="26"/>
      <c r="J28" s="26"/>
      <c r="K28" s="26"/>
      <c r="L28" s="26"/>
      <c r="M28" s="26"/>
      <c r="N28" s="26"/>
    </row>
    <row r="29" spans="2:14" x14ac:dyDescent="0.25">
      <c r="B29" s="46">
        <v>3.2</v>
      </c>
      <c r="C29" s="48" t="s">
        <v>145</v>
      </c>
      <c r="D29" s="514">
        <v>4</v>
      </c>
      <c r="E29" s="514">
        <v>4</v>
      </c>
      <c r="F29" s="514">
        <v>4</v>
      </c>
      <c r="G29" s="514">
        <v>4</v>
      </c>
      <c r="H29" s="514">
        <v>4</v>
      </c>
      <c r="I29" s="514">
        <v>4</v>
      </c>
      <c r="J29" s="514">
        <v>4</v>
      </c>
      <c r="K29" s="514">
        <v>4</v>
      </c>
      <c r="L29" s="514">
        <v>4</v>
      </c>
      <c r="M29" s="514">
        <v>4</v>
      </c>
      <c r="N29" s="26"/>
    </row>
    <row r="30" spans="2:14" x14ac:dyDescent="0.25">
      <c r="B30" s="46">
        <v>3.3000000000000003</v>
      </c>
      <c r="C30" s="48" t="s">
        <v>182</v>
      </c>
      <c r="D30" s="48"/>
      <c r="E30" s="49"/>
      <c r="F30" s="26"/>
      <c r="G30" s="26"/>
      <c r="H30" s="26"/>
      <c r="I30" s="26"/>
      <c r="J30" s="26"/>
      <c r="K30" s="26"/>
      <c r="L30" s="26"/>
      <c r="M30" s="26"/>
      <c r="N30" s="26"/>
    </row>
    <row r="31" spans="2:14" x14ac:dyDescent="0.25">
      <c r="B31" s="46">
        <v>3.4000000000000004</v>
      </c>
      <c r="C31" s="48" t="s">
        <v>183</v>
      </c>
      <c r="D31" s="48"/>
      <c r="E31" s="49"/>
      <c r="F31" s="26"/>
      <c r="G31" s="26"/>
      <c r="H31" s="26"/>
      <c r="I31" s="26"/>
      <c r="J31" s="26"/>
      <c r="K31" s="26"/>
      <c r="L31" s="26"/>
      <c r="M31" s="26"/>
      <c r="N31" s="26"/>
    </row>
    <row r="32" spans="2:14" x14ac:dyDescent="0.25">
      <c r="B32" s="97"/>
      <c r="C32" s="48"/>
      <c r="D32" s="48"/>
      <c r="E32" s="49"/>
      <c r="F32" s="26"/>
      <c r="G32" s="26"/>
      <c r="H32" s="26"/>
      <c r="I32" s="26"/>
      <c r="J32" s="26"/>
      <c r="K32" s="26"/>
      <c r="L32" s="26"/>
      <c r="M32" s="26"/>
      <c r="N32" s="26"/>
    </row>
    <row r="33" spans="2:14" x14ac:dyDescent="0.25">
      <c r="B33" s="97">
        <v>4</v>
      </c>
      <c r="C33" s="47" t="s">
        <v>188</v>
      </c>
      <c r="D33" s="47"/>
      <c r="E33" s="49"/>
      <c r="F33" s="26"/>
      <c r="G33" s="26"/>
      <c r="H33" s="26"/>
      <c r="I33" s="26"/>
      <c r="J33" s="26"/>
      <c r="K33" s="26"/>
      <c r="L33" s="26"/>
      <c r="M33" s="26"/>
      <c r="N33" s="26"/>
    </row>
    <row r="34" spans="2:14" x14ac:dyDescent="0.25">
      <c r="B34" s="46">
        <v>4.0999999999999996</v>
      </c>
      <c r="C34" s="48" t="s">
        <v>167</v>
      </c>
      <c r="D34" s="48"/>
      <c r="E34" s="26"/>
      <c r="F34" s="26"/>
      <c r="G34" s="26"/>
      <c r="H34" s="26"/>
      <c r="I34" s="26"/>
      <c r="J34" s="26"/>
      <c r="K34" s="26"/>
      <c r="L34" s="26"/>
      <c r="M34" s="26"/>
      <c r="N34" s="26"/>
    </row>
    <row r="36" spans="2:14" x14ac:dyDescent="0.25">
      <c r="B36" s="19" t="s">
        <v>189</v>
      </c>
    </row>
  </sheetData>
  <mergeCells count="8">
    <mergeCell ref="B2:N2"/>
    <mergeCell ref="B3:N3"/>
    <mergeCell ref="B4:N4"/>
    <mergeCell ref="B7:B8"/>
    <mergeCell ref="C7:C8"/>
    <mergeCell ref="I7:M7"/>
    <mergeCell ref="N7:N8"/>
    <mergeCell ref="F7:H7"/>
  </mergeCells>
  <pageMargins left="0.26" right="0.23622047244094491" top="0.77" bottom="0.98425196850393704" header="0.23622047244094491" footer="0.23622047244094491"/>
  <pageSetup paperSize="9" scale="56"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46</vt:i4>
      </vt:variant>
      <vt:variant>
        <vt:lpstr>Named Ranges</vt:lpstr>
      </vt:variant>
      <vt:variant>
        <vt:i4>29</vt:i4>
      </vt:variant>
    </vt:vector>
  </HeadingPairs>
  <TitlesOfParts>
    <vt:vector size="75" baseType="lpstr">
      <vt:lpstr>Rate-W.cap</vt:lpstr>
      <vt:lpstr>Gap</vt:lpstr>
      <vt:lpstr>Recon</vt:lpstr>
      <vt:lpstr>Assum</vt:lpstr>
      <vt:lpstr>Index</vt:lpstr>
      <vt:lpstr>F1 </vt:lpstr>
      <vt:lpstr>F2</vt:lpstr>
      <vt:lpstr>F2.1 </vt:lpstr>
      <vt:lpstr>F2.2</vt:lpstr>
      <vt:lpstr>F2.3</vt:lpstr>
      <vt:lpstr>F2.4</vt:lpstr>
      <vt:lpstr>F2.5</vt:lpstr>
      <vt:lpstr>Overhauling</vt:lpstr>
      <vt:lpstr>F3</vt:lpstr>
      <vt:lpstr>F3.1</vt:lpstr>
      <vt:lpstr>F3.2</vt:lpstr>
      <vt:lpstr>F3.3</vt:lpstr>
      <vt:lpstr>F4 </vt:lpstr>
      <vt:lpstr>F4.1 (E) Exisiting</vt:lpstr>
      <vt:lpstr>F4.1 (N) New</vt:lpstr>
      <vt:lpstr>Decapitalisation</vt:lpstr>
      <vt:lpstr>Capitalisation </vt:lpstr>
      <vt:lpstr>Interest</vt:lpstr>
      <vt:lpstr>F5</vt:lpstr>
      <vt:lpstr>F6</vt:lpstr>
      <vt:lpstr>F7</vt:lpstr>
      <vt:lpstr>Availability</vt:lpstr>
      <vt:lpstr>F8</vt:lpstr>
      <vt:lpstr>G Sec Investment</vt:lpstr>
      <vt:lpstr>F9</vt:lpstr>
      <vt:lpstr>F10</vt:lpstr>
      <vt:lpstr>F11</vt:lpstr>
      <vt:lpstr>Revenue</vt:lpstr>
      <vt:lpstr>F12</vt:lpstr>
      <vt:lpstr>F14.1</vt:lpstr>
      <vt:lpstr>F14.2</vt:lpstr>
      <vt:lpstr>F14.3</vt:lpstr>
      <vt:lpstr>F14.4</vt:lpstr>
      <vt:lpstr>F14.5</vt:lpstr>
      <vt:lpstr>F14.6</vt:lpstr>
      <vt:lpstr>F 14.7</vt:lpstr>
      <vt:lpstr>F14.8</vt:lpstr>
      <vt:lpstr>F14.9</vt:lpstr>
      <vt:lpstr>F13</vt:lpstr>
      <vt:lpstr>Sharing</vt:lpstr>
      <vt:lpstr>F15</vt:lpstr>
      <vt:lpstr>'F1 '!Print_Area</vt:lpstr>
      <vt:lpstr>'F10'!Print_Area</vt:lpstr>
      <vt:lpstr>'F11'!Print_Area</vt:lpstr>
      <vt:lpstr>'F12'!Print_Area</vt:lpstr>
      <vt:lpstr>'F13'!Print_Area</vt:lpstr>
      <vt:lpstr>'F2'!Print_Area</vt:lpstr>
      <vt:lpstr>'F2.1 '!Print_Area</vt:lpstr>
      <vt:lpstr>F2.2!Print_Area</vt:lpstr>
      <vt:lpstr>F2.3!Print_Area</vt:lpstr>
      <vt:lpstr>F2.4!Print_Area</vt:lpstr>
      <vt:lpstr>F2.5!Print_Area</vt:lpstr>
      <vt:lpstr>'F3'!Print_Area</vt:lpstr>
      <vt:lpstr>F3.1!Print_Area</vt:lpstr>
      <vt:lpstr>F3.2!Print_Area</vt:lpstr>
      <vt:lpstr>F3.3!Print_Area</vt:lpstr>
      <vt:lpstr>'F4 '!Print_Area</vt:lpstr>
      <vt:lpstr>'F4.1 (E) Exisiting'!Print_Area</vt:lpstr>
      <vt:lpstr>'F4.1 (N) New'!Print_Area</vt:lpstr>
      <vt:lpstr>'F5'!Print_Area</vt:lpstr>
      <vt:lpstr>'F6'!Print_Area</vt:lpstr>
      <vt:lpstr>'F7'!Print_Area</vt:lpstr>
      <vt:lpstr>'F8'!Print_Area</vt:lpstr>
      <vt:lpstr>'F9'!Print_Area</vt:lpstr>
      <vt:lpstr>Index!Print_Area</vt:lpstr>
      <vt:lpstr>'F2.1 '!Print_Titles</vt:lpstr>
      <vt:lpstr>F3.2!Print_Titles</vt:lpstr>
      <vt:lpstr>'F4 '!Print_Titles</vt:lpstr>
      <vt:lpstr>'F4.1 (E) Exisiting'!Print_Titles</vt:lpstr>
      <vt:lpstr>'F4.1 (N) New'!Print_Titles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Palaniappan M</dc:creator>
  <cp:keywords/>
  <dc:description/>
  <cp:lastModifiedBy>JITENDRA BHANUSHALI</cp:lastModifiedBy>
  <cp:revision/>
  <cp:lastPrinted>2024-11-20T13:32:25Z</cp:lastPrinted>
  <dcterms:created xsi:type="dcterms:W3CDTF">2004-07-28T05:30:50Z</dcterms:created>
  <dcterms:modified xsi:type="dcterms:W3CDTF">2024-11-20T13:33:42Z</dcterms:modified>
  <cp:category/>
  <cp:contentStatus/>
</cp:coreProperties>
</file>